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1-CR_Nouvelle_Aquitaine\2025\Administratif\"/>
    </mc:Choice>
  </mc:AlternateContent>
  <xr:revisionPtr revIDLastSave="0" documentId="8_{E4C11209-80A5-41C9-A9A2-ADF8E568D3EA}" xr6:coauthVersionLast="47" xr6:coauthVersionMax="47" xr10:uidLastSave="{00000000-0000-0000-0000-000000000000}"/>
  <bookViews>
    <workbookView xWindow="-120" yWindow="-120" windowWidth="29040" windowHeight="15720" xr2:uid="{3D4CAF4B-0976-401C-B9A7-32424A1BD862}"/>
  </bookViews>
  <sheets>
    <sheet name="Bordereau Epr.-Aff.-CicleWeb" sheetId="7" r:id="rId1"/>
    <sheet name="Données" sheetId="5" state="hidden" r:id="rId2"/>
    <sheet name="Listes" sheetId="6" state="hidden" r:id="rId3"/>
  </sheets>
  <definedNames>
    <definedName name="Affiliation">Données!$F$29:$F$31</definedName>
    <definedName name="BMX">Listes!$D$3:$D$7</definedName>
    <definedName name="C.CROSS">Listes!$E$3:$E$4</definedName>
    <definedName name="CD">Listes!$B$30:$M$30</definedName>
    <definedName name="CD.16">Listes!$B$31:$B$53</definedName>
    <definedName name="CD.17">Listes!$C$31:$C$66</definedName>
    <definedName name="CD.19">Listes!$D$31:$D$43</definedName>
    <definedName name="CD.23">Listes!$E$31:$E$44</definedName>
    <definedName name="CD.24">Listes!$F$31:$F$54</definedName>
    <definedName name="CD.33">Listes!$G$31:$G$85</definedName>
    <definedName name="CD.40">Listes!$H$31:$H$45</definedName>
    <definedName name="CD.47">Listes!$I$31:$I$47</definedName>
    <definedName name="CD.64">Listes!$J$31:$J$57</definedName>
    <definedName name="CD.79">Listes!$K$31:$K$51</definedName>
    <definedName name="CD.86">Listes!$L$31:$L$51</definedName>
    <definedName name="CD.87">Listes!$M$31:$M$51</definedName>
    <definedName name="Discipline">Listes!$B$2:$G$2</definedName>
    <definedName name="GRAVEL">Listes!$F$3</definedName>
    <definedName name="Licence">Données!$F$3:$F$25</definedName>
    <definedName name="PISTE">Listes!$G$3:$G$5</definedName>
    <definedName name="ROUTE">Listes!$B$3:$B$25</definedName>
    <definedName name="VTT">Listes!$C$3:$C$16</definedName>
    <definedName name="_xlnm.Print_Area" localSheetId="0">'Bordereau Epr.-Aff.-CicleWeb'!$A$1:$O$58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7" l="1"/>
  <c r="C115" i="5"/>
  <c r="C123" i="5"/>
  <c r="C64" i="5"/>
  <c r="C239" i="5"/>
  <c r="C19" i="5" l="1"/>
  <c r="C18" i="5"/>
  <c r="C17" i="5"/>
  <c r="C36" i="5"/>
  <c r="C270" i="5"/>
  <c r="C172" i="5"/>
  <c r="C169" i="5"/>
  <c r="C133" i="5"/>
  <c r="C140" i="5"/>
  <c r="C191" i="5"/>
  <c r="C129" i="5"/>
  <c r="C152" i="5"/>
  <c r="C284" i="5"/>
  <c r="C276" i="5"/>
  <c r="C264" i="5"/>
  <c r="C263" i="5"/>
  <c r="C254" i="5"/>
  <c r="C255" i="5"/>
  <c r="C96" i="5"/>
  <c r="I30" i="5"/>
  <c r="C218" i="5"/>
  <c r="C91" i="5" l="1"/>
  <c r="I24" i="5" l="1"/>
  <c r="I25" i="5"/>
  <c r="I26" i="5"/>
  <c r="C131" i="5"/>
  <c r="C51" i="5"/>
  <c r="C238" i="5"/>
  <c r="C214" i="5"/>
  <c r="C288" i="5"/>
  <c r="C287" i="5"/>
  <c r="C289" i="5"/>
  <c r="C286" i="5"/>
  <c r="C285" i="5"/>
  <c r="C283" i="5"/>
  <c r="C282" i="5"/>
  <c r="C281" i="5"/>
  <c r="C280" i="5"/>
  <c r="C279" i="5"/>
  <c r="C278" i="5"/>
  <c r="C277" i="5"/>
  <c r="C275" i="5"/>
  <c r="C274" i="5"/>
  <c r="C273" i="5"/>
  <c r="C272" i="5"/>
  <c r="C271" i="5"/>
  <c r="C269" i="5"/>
  <c r="C268" i="5"/>
  <c r="C267" i="5"/>
  <c r="C266" i="5"/>
  <c r="F52" i="5"/>
  <c r="C63" i="5"/>
  <c r="I27" i="7"/>
  <c r="G27" i="7"/>
  <c r="I29" i="5"/>
  <c r="F22" i="7"/>
  <c r="N22" i="7" s="1"/>
  <c r="C62" i="5"/>
  <c r="P27" i="7"/>
  <c r="G32" i="7"/>
  <c r="H23" i="7" l="1"/>
  <c r="F23" i="7"/>
  <c r="I28" i="7" l="1"/>
  <c r="I29" i="7"/>
  <c r="I30" i="7"/>
  <c r="I31" i="7"/>
  <c r="I32" i="7"/>
  <c r="I33" i="7"/>
  <c r="I34" i="7"/>
  <c r="I35" i="7"/>
  <c r="I36" i="7"/>
  <c r="G28" i="7"/>
  <c r="G29" i="7"/>
  <c r="G30" i="7"/>
  <c r="G31" i="7"/>
  <c r="G33" i="7"/>
  <c r="G34" i="7"/>
  <c r="G35" i="7"/>
  <c r="G36" i="7"/>
  <c r="P28" i="7"/>
  <c r="P29" i="7"/>
  <c r="P30" i="7"/>
  <c r="P31" i="7"/>
  <c r="P32" i="7"/>
  <c r="P33" i="7"/>
  <c r="Q33" i="7"/>
  <c r="P34" i="7"/>
  <c r="Q34" i="7"/>
  <c r="P35" i="7"/>
  <c r="Q35" i="7"/>
  <c r="P36" i="7"/>
  <c r="Q36" i="7"/>
  <c r="O28" i="7" l="1"/>
  <c r="O30" i="7"/>
  <c r="O31" i="7"/>
  <c r="O32" i="7"/>
  <c r="O33" i="7"/>
  <c r="O34" i="7"/>
  <c r="O35" i="7"/>
  <c r="O36" i="7"/>
  <c r="O11" i="7"/>
  <c r="O12" i="7"/>
  <c r="O13" i="7"/>
  <c r="O14" i="7"/>
  <c r="O15" i="7"/>
  <c r="O10" i="7"/>
  <c r="N23" i="7" l="1"/>
  <c r="O29" i="7"/>
  <c r="O27" i="7"/>
  <c r="L19" i="7"/>
  <c r="I19" i="7"/>
  <c r="B19" i="7"/>
  <c r="N3" i="7"/>
  <c r="O50" i="7" l="1"/>
  <c r="P44" i="7"/>
  <c r="O49" i="7" s="1"/>
  <c r="N43" i="7"/>
  <c r="Q32" i="7"/>
  <c r="Q31" i="7"/>
  <c r="Q30" i="7"/>
  <c r="Q29" i="7"/>
  <c r="Q28" i="7"/>
  <c r="Q27" i="7"/>
  <c r="Q44" i="7" l="1"/>
  <c r="O48" i="7" s="1"/>
  <c r="I31" i="5" l="1"/>
  <c r="AA55" i="6" l="1"/>
  <c r="AA54" i="6"/>
  <c r="AA53" i="6"/>
  <c r="AA52" i="6"/>
  <c r="AA51" i="6"/>
  <c r="AA49" i="6"/>
  <c r="AA48" i="6"/>
  <c r="AA47" i="6"/>
  <c r="AA46" i="6"/>
  <c r="AA45" i="6"/>
  <c r="AA44" i="6"/>
  <c r="AA43" i="6"/>
  <c r="AA42" i="6"/>
  <c r="AA41" i="6"/>
  <c r="AA40" i="6"/>
  <c r="AA39" i="6"/>
  <c r="AG38" i="6"/>
  <c r="AA38" i="6"/>
  <c r="AA37" i="6"/>
  <c r="AA36" i="6"/>
  <c r="AA35" i="6"/>
  <c r="AA34" i="6"/>
  <c r="AG33" i="6"/>
  <c r="AG37" i="6" s="1"/>
  <c r="AA33" i="6"/>
  <c r="C262" i="5"/>
  <c r="C261" i="5"/>
  <c r="C260" i="5"/>
  <c r="C259" i="5"/>
  <c r="C258" i="5"/>
  <c r="C257" i="5"/>
  <c r="C256" i="5"/>
  <c r="C253" i="5"/>
  <c r="C252" i="5"/>
  <c r="C251" i="5"/>
  <c r="C250" i="5"/>
  <c r="C249" i="5"/>
  <c r="C248" i="5"/>
  <c r="C247" i="5"/>
  <c r="C243" i="5"/>
  <c r="C242" i="5"/>
  <c r="C241" i="5"/>
  <c r="C240" i="5"/>
  <c r="C237" i="5"/>
  <c r="C236" i="5"/>
  <c r="C235" i="5"/>
  <c r="C234" i="5"/>
  <c r="C233" i="5"/>
  <c r="C232" i="5"/>
  <c r="C231" i="5"/>
  <c r="C230" i="5"/>
  <c r="F53" i="5" s="1"/>
  <c r="C229" i="5"/>
  <c r="C228" i="5"/>
  <c r="C227" i="5"/>
  <c r="C226" i="5"/>
  <c r="C225" i="5"/>
  <c r="C222" i="5"/>
  <c r="C221" i="5"/>
  <c r="C220" i="5"/>
  <c r="C219" i="5"/>
  <c r="C217" i="5"/>
  <c r="C216" i="5"/>
  <c r="C215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6" i="5"/>
  <c r="C195" i="5"/>
  <c r="C194" i="5"/>
  <c r="C193" i="5"/>
  <c r="C192" i="5"/>
  <c r="C190" i="5"/>
  <c r="C189" i="5"/>
  <c r="C188" i="5"/>
  <c r="C187" i="5"/>
  <c r="C186" i="5"/>
  <c r="C185" i="5"/>
  <c r="C184" i="5"/>
  <c r="C183" i="5"/>
  <c r="C182" i="5"/>
  <c r="C181" i="5"/>
  <c r="C179" i="5"/>
  <c r="C178" i="5"/>
  <c r="C177" i="5"/>
  <c r="C176" i="5"/>
  <c r="C175" i="5"/>
  <c r="C174" i="5"/>
  <c r="C173" i="5"/>
  <c r="C171" i="5"/>
  <c r="C170" i="5"/>
  <c r="C168" i="5"/>
  <c r="C167" i="5"/>
  <c r="C166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1" i="5"/>
  <c r="C150" i="5"/>
  <c r="C149" i="5"/>
  <c r="C148" i="5"/>
  <c r="C147" i="5"/>
  <c r="C146" i="5"/>
  <c r="C145" i="5"/>
  <c r="C144" i="5"/>
  <c r="C143" i="5"/>
  <c r="C120" i="5"/>
  <c r="C142" i="5"/>
  <c r="C141" i="5"/>
  <c r="C139" i="5"/>
  <c r="C138" i="5"/>
  <c r="C137" i="5"/>
  <c r="C136" i="5"/>
  <c r="C135" i="5"/>
  <c r="C134" i="5"/>
  <c r="C132" i="5"/>
  <c r="C130" i="5"/>
  <c r="C128" i="5"/>
  <c r="C127" i="5"/>
  <c r="C126" i="5"/>
  <c r="C125" i="5"/>
  <c r="C124" i="5"/>
  <c r="C122" i="5"/>
  <c r="C121" i="5"/>
  <c r="C119" i="5"/>
  <c r="C118" i="5"/>
  <c r="C116" i="5"/>
  <c r="C114" i="5"/>
  <c r="C113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5" i="5"/>
  <c r="C94" i="5"/>
  <c r="C93" i="5"/>
  <c r="C92" i="5"/>
  <c r="C90" i="5"/>
  <c r="C89" i="5"/>
  <c r="C88" i="5"/>
  <c r="C85" i="5"/>
  <c r="C84" i="5"/>
  <c r="C83" i="5"/>
  <c r="C82" i="5"/>
  <c r="C81" i="5"/>
  <c r="C80" i="5"/>
  <c r="C79" i="5"/>
  <c r="C78" i="5"/>
  <c r="C77" i="5"/>
  <c r="C76" i="5"/>
  <c r="C75" i="5"/>
  <c r="C74" i="5"/>
  <c r="C72" i="5"/>
  <c r="C71" i="5"/>
  <c r="C70" i="5"/>
  <c r="C69" i="5"/>
  <c r="C68" i="5"/>
  <c r="C66" i="5"/>
  <c r="C65" i="5"/>
  <c r="C59" i="5"/>
  <c r="C58" i="5"/>
  <c r="C54" i="5"/>
  <c r="C57" i="5"/>
  <c r="C56" i="5"/>
  <c r="C53" i="5"/>
  <c r="C52" i="5"/>
  <c r="C55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5" i="5"/>
  <c r="C34" i="5"/>
  <c r="C33" i="5"/>
  <c r="C32" i="5"/>
  <c r="C31" i="5"/>
  <c r="C30" i="5"/>
  <c r="C29" i="5"/>
  <c r="C28" i="5"/>
  <c r="C27" i="5"/>
  <c r="C26" i="5"/>
  <c r="C23" i="5"/>
  <c r="C22" i="5"/>
  <c r="C21" i="5"/>
  <c r="C20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AG39" i="6" l="1"/>
  <c r="AG36" i="6"/>
  <c r="AG34" i="6"/>
  <c r="AG35" i="6" s="1"/>
  <c r="AG31" i="6" l="1"/>
  <c r="F47" i="5" l="1"/>
  <c r="F51" i="5" s="1"/>
  <c r="F48" i="5" l="1"/>
  <c r="F49" i="5" s="1"/>
  <c r="F50" i="5"/>
  <c r="F45" i="5" l="1"/>
  <c r="G3" i="7" s="1"/>
</calcChain>
</file>

<file path=xl/sharedStrings.xml><?xml version="1.0" encoding="utf-8"?>
<sst xmlns="http://schemas.openxmlformats.org/spreadsheetml/2006/main" count="1075" uniqueCount="467">
  <si>
    <t>LICENCE</t>
  </si>
  <si>
    <t>N° Bordereau</t>
  </si>
  <si>
    <t>France Cycliste</t>
  </si>
  <si>
    <t>Tarif</t>
  </si>
  <si>
    <t>CR</t>
  </si>
  <si>
    <t>FFC</t>
  </si>
  <si>
    <t>Part CD 33</t>
  </si>
  <si>
    <t>Type</t>
  </si>
  <si>
    <t>Jeune</t>
  </si>
  <si>
    <t>Papier</t>
  </si>
  <si>
    <t>Junior</t>
  </si>
  <si>
    <t>A C 4 B</t>
  </si>
  <si>
    <t>A.C.NIEUL LES SAINTES</t>
  </si>
  <si>
    <t>ADRENALINE SENSATIONS TEAM AS</t>
  </si>
  <si>
    <t>BMXL ACADEMY</t>
  </si>
  <si>
    <t>ACCOUS VELO TOUT TERRAIN</t>
  </si>
  <si>
    <t>AC ECHIRE</t>
  </si>
  <si>
    <t>A.C.C.A.C.VIENNE</t>
  </si>
  <si>
    <t>A.C.RILHAC RANCON</t>
  </si>
  <si>
    <t>Numérique</t>
  </si>
  <si>
    <t>1ère Cat</t>
  </si>
  <si>
    <t>A.C. JARNAC AIGRE ROUILLAC</t>
  </si>
  <si>
    <t>A.PO.GE CYCLISTE - TEAM U CUBE 17</t>
  </si>
  <si>
    <t>AS PERIGORD BESSEDE</t>
  </si>
  <si>
    <t>CA MORCENAIS</t>
  </si>
  <si>
    <t>A.C.NEUVILLE</t>
  </si>
  <si>
    <t>Arbitre</t>
  </si>
  <si>
    <t>2ème Cat</t>
  </si>
  <si>
    <t>A.C.NERSAC</t>
  </si>
  <si>
    <t>CLUB SPORTS LOISIRS CHAMBERET</t>
  </si>
  <si>
    <t>BICROSS CLUB DU TERRASSONNAIS</t>
  </si>
  <si>
    <t>ARTIGUES VELO CLUB</t>
  </si>
  <si>
    <t>GUIDON SAINT MARTINOIS</t>
  </si>
  <si>
    <t>AVIRON BAYONNAIS</t>
  </si>
  <si>
    <t>BMX CLUB NIORTAIS</t>
  </si>
  <si>
    <t>AVENIR CYCLISTE CHATELLERAUDAIS</t>
  </si>
  <si>
    <t>AMBAZAC SPRINTER CLUB</t>
  </si>
  <si>
    <t>3ème Cat</t>
  </si>
  <si>
    <t>AC ST MICHEL</t>
  </si>
  <si>
    <t>AC ETAULAIS</t>
  </si>
  <si>
    <t>CC PERIGUEUX DORDOGNE</t>
  </si>
  <si>
    <t>AS TESTERINE</t>
  </si>
  <si>
    <t>PEYREHORADE SC</t>
  </si>
  <si>
    <t>CC MARMANDAIS</t>
  </si>
  <si>
    <t>C.POITEVIN</t>
  </si>
  <si>
    <t>AS ST JUNIEN BMX</t>
  </si>
  <si>
    <t>PC Open</t>
  </si>
  <si>
    <t>AL GOND PONTOUVRE</t>
  </si>
  <si>
    <t>AVENIR CYCLISTE MACQUEVILLOIS 17</t>
  </si>
  <si>
    <t>CREUSE OXYGENE</t>
  </si>
  <si>
    <t>ASH VTT LE HAILLAN</t>
  </si>
  <si>
    <t>SAINT PAUL SPORTS</t>
  </si>
  <si>
    <t>CERCLE DEPARTEMENTAL 47 FFC</t>
  </si>
  <si>
    <t>BICROSS CLUB DENGUIN</t>
  </si>
  <si>
    <t>C. CHEF BOUTONNAIS</t>
  </si>
  <si>
    <t>ASS.CYCL.  LIMOGES BUSSIERE POITEVINE</t>
  </si>
  <si>
    <t>PC</t>
  </si>
  <si>
    <t>ANGOULEME VELO CLUB</t>
  </si>
  <si>
    <t>B.M.X. LA ROCHELLE</t>
  </si>
  <si>
    <t>TULLE CYCLISME COMPETITION</t>
  </si>
  <si>
    <t>CTE D'ORG.TOUR DE LA CREUSE</t>
  </si>
  <si>
    <t>AVC LIBOURNAIS</t>
  </si>
  <si>
    <t>STADE MONTOIS BMX</t>
  </si>
  <si>
    <t>CS CASSENEUIL</t>
  </si>
  <si>
    <t>BIZIKLETA TALDEA PAYS BASQUE</t>
  </si>
  <si>
    <t>CYCLE AMICAL CIVRAISIEN</t>
  </si>
  <si>
    <t>BMX  CLUB DE LIMOGES</t>
  </si>
  <si>
    <t>Encadrement</t>
  </si>
  <si>
    <t>BRIE LOISIRS ET CULTURE</t>
  </si>
  <si>
    <t>BMX BREUILLET</t>
  </si>
  <si>
    <t>DORDOGNE SUD CYCLISME</t>
  </si>
  <si>
    <t>BICROSS DE MIOS</t>
  </si>
  <si>
    <t>STADE MONTOIS CYCLISME</t>
  </si>
  <si>
    <t>CS CASTELJALOUSAIN</t>
  </si>
  <si>
    <t>ESSOR CYCLISTE BASQUE</t>
  </si>
  <si>
    <t>CO TOUR CYCLISTE DES DEUX SEVRES</t>
  </si>
  <si>
    <t>CYCLOS DES 3 VALLEES</t>
  </si>
  <si>
    <t>BMX VAL DU TAURION</t>
  </si>
  <si>
    <t>Arb EV/BMX/Club</t>
  </si>
  <si>
    <t>C.O.COURONNAIS</t>
  </si>
  <si>
    <t>BMX CLUB SAINTAIS</t>
  </si>
  <si>
    <t>U.C.BRIVISTE</t>
  </si>
  <si>
    <t>EC TRELISSAC COULOUNIEIX 24</t>
  </si>
  <si>
    <t>BMX GUJANAIS</t>
  </si>
  <si>
    <t>UC AIRE BARCELONNE</t>
  </si>
  <si>
    <t>CYCLO 4 HAUT AGENAIS</t>
  </si>
  <si>
    <t>FC OLORON CYCLISME</t>
  </si>
  <si>
    <t>CYCLO LOISIR MONCOUTANT</t>
  </si>
  <si>
    <t>J.P.C.LUSSAC</t>
  </si>
  <si>
    <t>BRIANCE ROSELLE AVENTURE</t>
  </si>
  <si>
    <t>Arb Nat/Rég</t>
  </si>
  <si>
    <t>BORDEAUX SAINTES C.O.</t>
  </si>
  <si>
    <t>USSEL CYCLISME ORGANISATION</t>
  </si>
  <si>
    <t>ETOILE CYCLISTE FOYENNE</t>
  </si>
  <si>
    <t>US  DACQUOISE</t>
  </si>
  <si>
    <t>DESTINATION MTB RACE</t>
  </si>
  <si>
    <t>POITOU CHARENTES ANIMATION</t>
  </si>
  <si>
    <t>C.R.C.L.</t>
  </si>
  <si>
    <t>Arb Fédér/Int</t>
  </si>
  <si>
    <t>COGNAC BMX</t>
  </si>
  <si>
    <t>BRAQUET SAINTONGEAIS</t>
  </si>
  <si>
    <t>EVCC BERGERAC</t>
  </si>
  <si>
    <t>CA BEGLAIS</t>
  </si>
  <si>
    <t>VC MONTOIS</t>
  </si>
  <si>
    <t>GUIDON AGENAIS</t>
  </si>
  <si>
    <t>JURANCON CYCLISME COMPETITION</t>
  </si>
  <si>
    <t>MAAF SECTION VELO</t>
  </si>
  <si>
    <t>U.C.C.VIVONNE</t>
  </si>
  <si>
    <t>CONDAT BMX CLUB</t>
  </si>
  <si>
    <t>ENTENTE SPORTIVE BARDENAC LE FOUILLOUX</t>
  </si>
  <si>
    <t>C.C.VERVANT</t>
  </si>
  <si>
    <t>VTT  ARGENTAT</t>
  </si>
  <si>
    <t>JS ASTERIENNE</t>
  </si>
  <si>
    <t>CAM BORDEAUX</t>
  </si>
  <si>
    <t>VC TARNOS</t>
  </si>
  <si>
    <t>LVC TONNEINS</t>
  </si>
  <si>
    <t>NIORT SECURITE MOTO</t>
  </si>
  <si>
    <t>U.S.CHAUVIGNY C.</t>
  </si>
  <si>
    <t>ELAN CYCLISTE D'AMBAZAC</t>
  </si>
  <si>
    <t>ESCORTE MOTOCYCLISTE DE SECURITE</t>
  </si>
  <si>
    <t>CLUB CYCLISTE DE ST AGNANT</t>
  </si>
  <si>
    <t>RC MUSSIDAN</t>
  </si>
  <si>
    <t>CANEJAN BMX CLUB</t>
  </si>
  <si>
    <t>LESCAR VS</t>
  </si>
  <si>
    <t>P.ST FLORENT NIORT</t>
  </si>
  <si>
    <t>U.V.POITIERS</t>
  </si>
  <si>
    <t>ROCHECHOUART OLYMPIC CLUB CYCLO</t>
  </si>
  <si>
    <t>Loisir</t>
  </si>
  <si>
    <t>GUIDON MANSLOIS</t>
  </si>
  <si>
    <t>COTE DE BEAUTE CYCLISME</t>
  </si>
  <si>
    <t>CAVIGNAC BMX CLUB</t>
  </si>
  <si>
    <t>UC LAVARDAC BARBASTE</t>
  </si>
  <si>
    <t>OLORON O BEARN SPORT NATURE</t>
  </si>
  <si>
    <t>SAINT LEGER BMX</t>
  </si>
  <si>
    <t>V.C.LOUDUN</t>
  </si>
  <si>
    <t>SINGLETRACKS</t>
  </si>
  <si>
    <t>Nature</t>
  </si>
  <si>
    <t>JARNAC V.T.T.</t>
  </si>
  <si>
    <t>ENTENTE CYCLISTE 3 M</t>
  </si>
  <si>
    <t>TEAM CYCLISTE VERTEILLACOISE</t>
  </si>
  <si>
    <t>PAU BMX CLUB AQUITAINE</t>
  </si>
  <si>
    <t>TEAM CYCLISTE ALBERT BIGOT 79  NUEIL AUBIERS</t>
  </si>
  <si>
    <t>V.C.MONTMORILLON</t>
  </si>
  <si>
    <t>ST DENIS US</t>
  </si>
  <si>
    <t>Urbain</t>
  </si>
  <si>
    <t>FS ST HILAIRE VILLEFRANCHE</t>
  </si>
  <si>
    <t>CC ILLADAIS</t>
  </si>
  <si>
    <t>VELO CLUB DU BRULHOIS ET DE L'AGENAIS</t>
  </si>
  <si>
    <t>PAU VELO 64</t>
  </si>
  <si>
    <t>V.C.CHATILLONNAIS</t>
  </si>
  <si>
    <t>V.NAINTRE</t>
  </si>
  <si>
    <t>TOUR DU LIMOUSIN ORGANISATION</t>
  </si>
  <si>
    <t>Animateur Fédéral</t>
  </si>
  <si>
    <t>U.A.LA ROCHEFOUCAULD</t>
  </si>
  <si>
    <t>LA ROUE LIBRE SAVINOISE</t>
  </si>
  <si>
    <t>UC MONTPONNAISE VALLÉE DE L'ISLE</t>
  </si>
  <si>
    <t>V.C.ST MAIXENT</t>
  </si>
  <si>
    <t>VCC TRIMOUILLAIS</t>
  </si>
  <si>
    <t>U.C.CONDAT</t>
  </si>
  <si>
    <t>Animateur Régional</t>
  </si>
  <si>
    <t>U.C.CONFOLENS</t>
  </si>
  <si>
    <t>VC POMPONNAIS</t>
  </si>
  <si>
    <t>SA MAULEON</t>
  </si>
  <si>
    <t>V.C.THOUARS</t>
  </si>
  <si>
    <t>VELO CLUB NAINTRÉEN</t>
  </si>
  <si>
    <t>U.C.DORACHONNE NORD 87</t>
  </si>
  <si>
    <t>Santé</t>
  </si>
  <si>
    <t>U.V.COGNAC</t>
  </si>
  <si>
    <t>SC SERRES CASTET</t>
  </si>
  <si>
    <t>VS CANTON DE BEAUVOIR</t>
  </si>
  <si>
    <t>UCAP ANGOULEME</t>
  </si>
  <si>
    <t>PEDAL CLUB OLERONAIS</t>
  </si>
  <si>
    <t>VELO SILEX</t>
  </si>
  <si>
    <t>EC MEDOC ATLANTIQUE</t>
  </si>
  <si>
    <t>UC ORTHEZIENNE</t>
  </si>
  <si>
    <t>US NANTIAT-ESCAPADE PAYS MTS BLOND</t>
  </si>
  <si>
    <t>Baby Vélo</t>
  </si>
  <si>
    <t>VTT CLUB BERGERAC PERIGORD</t>
  </si>
  <si>
    <t>UCS ANGLET</t>
  </si>
  <si>
    <t>OCEANE TOP16</t>
  </si>
  <si>
    <t>VTT EVASION POURPRE</t>
  </si>
  <si>
    <t>FREE RIDER CLUB</t>
  </si>
  <si>
    <t>URT VELO 64</t>
  </si>
  <si>
    <t>TEAM CYCLISME SUPER U ROUILLAC</t>
  </si>
  <si>
    <t>VTT MONTAGRIER SPORTS LOISIRS</t>
  </si>
  <si>
    <t>GIRONDINS DE BORDEAUX</t>
  </si>
  <si>
    <t>VC NAYAIS</t>
  </si>
  <si>
    <t>VTT HAUT LIMOUSIN</t>
  </si>
  <si>
    <t>TEAM SAINT SAUVEUR</t>
  </si>
  <si>
    <t>VTT SOURZAC</t>
  </si>
  <si>
    <t>GUIDON MACARIEN</t>
  </si>
  <si>
    <t>VC SALISIEN</t>
  </si>
  <si>
    <t>U.V.ANGERIENNE</t>
  </si>
  <si>
    <t>LES BLAIREAUX DE LIGUEUX</t>
  </si>
  <si>
    <t>VTT LESCAR EVASION</t>
  </si>
  <si>
    <t>V.C. GUATAIS</t>
  </si>
  <si>
    <t>MARCILLAC VS</t>
  </si>
  <si>
    <t>V.C.CHAMPAGNOLLES</t>
  </si>
  <si>
    <t>V.C.CHARENTE OCEAN</t>
  </si>
  <si>
    <t>MERIGNAC VC</t>
  </si>
  <si>
    <t>V.C.ROCHEFORT</t>
  </si>
  <si>
    <t>PEUJARD VELO CLUB - SECTION COMPETITION</t>
  </si>
  <si>
    <t>V.C.SAINTAIS</t>
  </si>
  <si>
    <t>RAID N TRAIL</t>
  </si>
  <si>
    <t>VC CORME-ROYAL</t>
  </si>
  <si>
    <t>SA MERIGNAC</t>
  </si>
  <si>
    <t>VCC MARENNES</t>
  </si>
  <si>
    <t>SC BRAUD ST LOUIS</t>
  </si>
  <si>
    <t>VELO CLUB MATHALIEN</t>
  </si>
  <si>
    <t>SECURITE MOTO ASSISTANCE NOUVELLE AQUITAINE</t>
  </si>
  <si>
    <t>STADE BORDELAIS BMX</t>
  </si>
  <si>
    <t>TEAM FARGUES CYCLES GUEREAU</t>
  </si>
  <si>
    <t>UC ARCACHON</t>
  </si>
  <si>
    <t>UC BREDOISE</t>
  </si>
  <si>
    <t>UC GRADIGNAN</t>
  </si>
  <si>
    <t>US BOUSCATAISE BMX</t>
  </si>
  <si>
    <t>US RAUZAN</t>
  </si>
  <si>
    <t>US VILLENAVAISE CYCLISME</t>
  </si>
  <si>
    <t>VC BAZAS/BERNOS BEAULAC</t>
  </si>
  <si>
    <t>VC DU BOURGEAIS</t>
  </si>
  <si>
    <t>VC PAYS DE LANGON</t>
  </si>
  <si>
    <t>VTT ESTUAIRE CLUB GAURIAC</t>
  </si>
  <si>
    <t>AMICALE CYCLISTE D'ANDILLY ET SERIGNY</t>
  </si>
  <si>
    <t>LA PEDALE JONZACAISE</t>
  </si>
  <si>
    <t>ORANGES MECANIQUES TEAM CHEPNIERS</t>
  </si>
  <si>
    <t>TEAM 4A17</t>
  </si>
  <si>
    <t>TEAM CYCLISTE LE CHATEAU D'OLERON</t>
  </si>
  <si>
    <t>CLUB SIGNALEUR MOTOCYCLISTE TEAM CSM19</t>
  </si>
  <si>
    <t>AC BOURGANEUF</t>
  </si>
  <si>
    <t>ANC DUN LE PALESTEL</t>
  </si>
  <si>
    <t>AS FRANSECHES</t>
  </si>
  <si>
    <t>CC MAINSAT EVAUX</t>
  </si>
  <si>
    <t>ESC LE GRAND-BOURG</t>
  </si>
  <si>
    <t>UC BOUSSAC</t>
  </si>
  <si>
    <t>UC FELLETIN EN CREUSE</t>
  </si>
  <si>
    <t>VC AUBUSSON</t>
  </si>
  <si>
    <t>VC GOUZON</t>
  </si>
  <si>
    <t>VC LA SOUTERRAINE</t>
  </si>
  <si>
    <t>LA PERIGORDINE ORGANISATION</t>
  </si>
  <si>
    <t>SPRINTER CLUB  DU PERIGORD</t>
  </si>
  <si>
    <t>VELO CLUB  MONPAZIER</t>
  </si>
  <si>
    <t>CC SAINT PALAIS</t>
  </si>
  <si>
    <t>CREON VELO CLUB</t>
  </si>
  <si>
    <t>ENTENTE CYCLISTE ST FELIX DE FONCAUDE</t>
  </si>
  <si>
    <t>GROUPEMENT MOTO ESCORTE</t>
  </si>
  <si>
    <t>TEAM KBL 33</t>
  </si>
  <si>
    <t>URC PREIGNAC</t>
  </si>
  <si>
    <t>US BOUSCATAISE CYCLISME</t>
  </si>
  <si>
    <t>BASKOLAND VTT</t>
  </si>
  <si>
    <t>AGEN VELO SPORT</t>
  </si>
  <si>
    <t>ESCAPADE EXCITED RIDERS</t>
  </si>
  <si>
    <t>TSA UNIBALLER</t>
  </si>
  <si>
    <t>UC FUMEL MONSEMPRON LIBOS</t>
  </si>
  <si>
    <t>VC LIVRADAIS</t>
  </si>
  <si>
    <t>ASSAT VTT CLUB</t>
  </si>
  <si>
    <t>BEARN VTT 64</t>
  </si>
  <si>
    <t>BRESSUIRE ACTIVITES CYCLISTES</t>
  </si>
  <si>
    <t>CC NANTEUILLAIS</t>
  </si>
  <si>
    <t>CD.16</t>
  </si>
  <si>
    <t>CD.17</t>
  </si>
  <si>
    <t>CD.19</t>
  </si>
  <si>
    <t>CD.23</t>
  </si>
  <si>
    <t>CD.24</t>
  </si>
  <si>
    <t>CD.33</t>
  </si>
  <si>
    <t>CD.40</t>
  </si>
  <si>
    <t>CD.47</t>
  </si>
  <si>
    <t>CD.64</t>
  </si>
  <si>
    <t>CD.79</t>
  </si>
  <si>
    <t>CD.86</t>
  </si>
  <si>
    <t>CD.87</t>
  </si>
  <si>
    <t>DN5016001</t>
  </si>
  <si>
    <t>DN5024002</t>
  </si>
  <si>
    <t>TEAM CYCLISTE PERIGORD 24</t>
  </si>
  <si>
    <t>Cyclosportive</t>
  </si>
  <si>
    <t>Licence Accueil Jeune</t>
  </si>
  <si>
    <t>Assistance Organisation</t>
  </si>
  <si>
    <t>Jeune Arbitre</t>
  </si>
  <si>
    <t>Département :</t>
  </si>
  <si>
    <t>NOM</t>
  </si>
  <si>
    <t>CAT.</t>
  </si>
  <si>
    <t>TARIF</t>
  </si>
  <si>
    <t>TOTAL</t>
  </si>
  <si>
    <t>Club :</t>
  </si>
  <si>
    <t>n°</t>
  </si>
  <si>
    <t>TOTAL A REGLER
AU COMITE NA</t>
  </si>
  <si>
    <t>Bordereau n°</t>
  </si>
  <si>
    <t>N°</t>
  </si>
  <si>
    <t>Comité Nouvelle-Aquitaine de Cyclisme</t>
  </si>
  <si>
    <t>Siège : 13 Avenue de la Madeleine 33170 GRADIGNAN</t>
  </si>
  <si>
    <t>Antennes : 142 Avenue Emile Labussière 87100 LIMOGES &amp; 4 Rue du Baron 79190 SAUZE-VAUSSAIS</t>
  </si>
  <si>
    <t>Tél. : 05.56.47.38.99 - Mail : contact@nouvelleaquitaine-cyclisme.fr - Site : www.nouvelleaquitaine-cyclisme.fr</t>
  </si>
  <si>
    <t>Date :</t>
  </si>
  <si>
    <r>
      <rPr>
        <sz val="8"/>
        <color theme="1"/>
        <rFont val="Calibri"/>
        <family val="2"/>
      </rPr>
      <t xml:space="preserve">→ </t>
    </r>
    <r>
      <rPr>
        <sz val="8"/>
        <color theme="1"/>
        <rFont val="Calibri"/>
        <family val="2"/>
        <scheme val="minor"/>
      </rPr>
      <t>IBAN : FR76 1330 6001 2600 0948 0010 394   /   BIC-SWIFT : AGRIFRPP833</t>
    </r>
  </si>
  <si>
    <r>
      <rPr>
        <sz val="8"/>
        <color theme="1"/>
        <rFont val="Calibri"/>
        <family val="2"/>
      </rPr>
      <t xml:space="preserve">→ </t>
    </r>
    <r>
      <rPr>
        <sz val="8"/>
        <color theme="1"/>
        <rFont val="Calibri"/>
        <family val="2"/>
        <scheme val="minor"/>
      </rPr>
      <t>en cochant, vous acceptez d'être prélevé de la somme mentionnée sur ce bordereau</t>
    </r>
  </si>
  <si>
    <t>OBLIGATOIRE : Mode de Paiement choisi</t>
  </si>
  <si>
    <r>
      <t>Espèces</t>
    </r>
    <r>
      <rPr>
        <sz val="8"/>
        <color theme="1"/>
        <rFont val="Calibri"/>
        <family val="2"/>
        <scheme val="minor"/>
      </rPr>
      <t xml:space="preserve"> (jointes)</t>
    </r>
  </si>
  <si>
    <t>Virement*</t>
  </si>
  <si>
    <t>Prélèvement**</t>
  </si>
  <si>
    <t>Club : 1ère affiliation</t>
  </si>
  <si>
    <t>Club : Renouvellement</t>
  </si>
  <si>
    <t>Vélodrome</t>
  </si>
  <si>
    <t>AFFILIATION</t>
  </si>
  <si>
    <t>/</t>
  </si>
  <si>
    <t>XENDRAZKOAK VTT</t>
  </si>
  <si>
    <r>
      <rPr>
        <i/>
        <sz val="10"/>
        <color theme="1"/>
        <rFont val="Calibri"/>
        <family val="2"/>
        <scheme val="minor"/>
      </rPr>
      <t xml:space="preserve">   **</t>
    </r>
    <r>
      <rPr>
        <i/>
        <sz val="8"/>
        <color theme="1"/>
        <rFont val="Calibri"/>
        <family val="2"/>
        <scheme val="minor"/>
      </rPr>
      <t xml:space="preserve"> pour un 1er prélèvement : demandez un Mandat SEPA au Comité</t>
    </r>
  </si>
  <si>
    <r>
      <t>Chèque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(joint)</t>
    </r>
  </si>
  <si>
    <t xml:space="preserve">Paiement effectué le </t>
  </si>
  <si>
    <r>
      <rPr>
        <i/>
        <sz val="10"/>
        <color theme="1"/>
        <rFont val="Calibri"/>
        <family val="2"/>
        <scheme val="minor"/>
      </rPr>
      <t xml:space="preserve">   *</t>
    </r>
    <r>
      <rPr>
        <i/>
        <sz val="8"/>
        <color theme="1"/>
        <rFont val="Calibri"/>
        <family val="2"/>
        <scheme val="minor"/>
      </rPr>
      <t xml:space="preserve"> mentionnez le n° du bordereau dans la référence de votre virement &amp; joignez la preuve de virement à ce bordereau</t>
    </r>
  </si>
  <si>
    <t>LIEU</t>
  </si>
  <si>
    <t>DATE</t>
  </si>
  <si>
    <t>ROUTE</t>
  </si>
  <si>
    <t>VTT</t>
  </si>
  <si>
    <t>PISTE</t>
  </si>
  <si>
    <t>XCE</t>
  </si>
  <si>
    <t>XCO</t>
  </si>
  <si>
    <t>XCM</t>
  </si>
  <si>
    <t>DH</t>
  </si>
  <si>
    <t>GRAVEL</t>
  </si>
  <si>
    <t>Trial</t>
  </si>
  <si>
    <t>Enduro</t>
  </si>
  <si>
    <t>Jeunes</t>
  </si>
  <si>
    <t>Rando</t>
  </si>
  <si>
    <t>Toutes Cat.</t>
  </si>
  <si>
    <t>Réunion</t>
  </si>
  <si>
    <t>Ecoles Vélo</t>
  </si>
  <si>
    <t>CLM</t>
  </si>
  <si>
    <t>Inter-Club</t>
  </si>
  <si>
    <t>BMX</t>
  </si>
  <si>
    <t>Coupe NA</t>
  </si>
  <si>
    <t>Cyclo</t>
  </si>
  <si>
    <t>Elite Nat.</t>
  </si>
  <si>
    <t>CLUBS</t>
  </si>
  <si>
    <t>Epreuve</t>
  </si>
  <si>
    <t>ES : Epreuve Support</t>
  </si>
  <si>
    <t xml:space="preserve">   + : Epreuve Supplémentaire</t>
  </si>
  <si>
    <t>Montant à créditer :</t>
  </si>
  <si>
    <t>AUTRES OPERATIONS</t>
  </si>
  <si>
    <t>INTITULE DE L'OPERATION</t>
  </si>
  <si>
    <t>MONTANT</t>
  </si>
  <si>
    <t>EPREUVES</t>
  </si>
  <si>
    <t>Discipline</t>
  </si>
  <si>
    <t>PRENOM</t>
  </si>
  <si>
    <t>CD33</t>
  </si>
  <si>
    <t>AB. Cyclisme</t>
  </si>
  <si>
    <t>DIVERS</t>
  </si>
  <si>
    <t>AFFILIATIONS</t>
  </si>
  <si>
    <t>TYPE AFFILIATION</t>
  </si>
  <si>
    <t>C.CROSS</t>
  </si>
  <si>
    <t>BORDEREAU</t>
  </si>
  <si>
    <t>/!\ pour les licences dématérialisées, envoyez le bordereau généré automatiquement par l'Espace Club</t>
  </si>
  <si>
    <t>PROVISION COMPTE CICLEWEB</t>
  </si>
  <si>
    <t>Epreuves - Affiliation - Provision CicleWeb</t>
  </si>
  <si>
    <t>CD16</t>
  </si>
  <si>
    <t>CD17</t>
  </si>
  <si>
    <t>CD19</t>
  </si>
  <si>
    <t>CD23</t>
  </si>
  <si>
    <t>CD24</t>
  </si>
  <si>
    <t>CD40</t>
  </si>
  <si>
    <t>CD47</t>
  </si>
  <si>
    <t>CD64</t>
  </si>
  <si>
    <t>CD79</t>
  </si>
  <si>
    <t>CD86</t>
  </si>
  <si>
    <t>CD87</t>
  </si>
  <si>
    <t>HG GREEN BIKE</t>
  </si>
  <si>
    <t>SPUC OMNISPORT CYCLISME</t>
  </si>
  <si>
    <t>AS ACADEMY</t>
  </si>
  <si>
    <t>RACING VELO 19</t>
  </si>
  <si>
    <t>ENTENTE CORREZE JUNIORS</t>
  </si>
  <si>
    <t>QE5019001 </t>
  </si>
  <si>
    <t>ENTENTE VIENNE - DEUX SÈVRES POITOU</t>
  </si>
  <si>
    <t>QE5086002</t>
  </si>
  <si>
    <t>TEAM ALIÉNOR NOUVELLE-AQUITAINE</t>
  </si>
  <si>
    <t>ENOSIS GARONNE - ENTENTE MARMANDE MERIGNAC</t>
  </si>
  <si>
    <t>QD5033001</t>
  </si>
  <si>
    <t>QD5033002</t>
  </si>
  <si>
    <t>STADE ROCHELAIS CHARENTE - MARITIME WOMEN CYCLING</t>
  </si>
  <si>
    <t>QD5017001</t>
  </si>
  <si>
    <t>FDJ NOUVELLE - AQUITAINE FUTUROSCOPE</t>
  </si>
  <si>
    <t>QD5086001</t>
  </si>
  <si>
    <t>ENTENTE IPARRALDE</t>
  </si>
  <si>
    <t>QE5040001</t>
  </si>
  <si>
    <t>Régularisation / Paiement / Déduction</t>
  </si>
  <si>
    <r>
      <rPr>
        <i/>
        <sz val="8"/>
        <color rgb="FFC00000"/>
        <rFont val="Calibri"/>
        <family val="2"/>
        <scheme val="minor"/>
      </rPr>
      <t>*</t>
    </r>
    <r>
      <rPr>
        <i/>
        <sz val="8"/>
        <color theme="1"/>
        <rFont val="Calibri"/>
        <family val="2"/>
        <scheme val="minor"/>
      </rPr>
      <t xml:space="preserve"> pour les épreuves ne payant pas les prix sur place</t>
    </r>
  </si>
  <si>
    <r>
      <t>PRIX COUREURS</t>
    </r>
    <r>
      <rPr>
        <b/>
        <sz val="8"/>
        <color rgb="FFC00000"/>
        <rFont val="Calibri"/>
        <family val="2"/>
        <scheme val="minor"/>
      </rPr>
      <t>*</t>
    </r>
  </si>
  <si>
    <r>
      <t>PRIX SPECIAUX</t>
    </r>
    <r>
      <rPr>
        <b/>
        <sz val="8"/>
        <color rgb="FFC00000"/>
        <rFont val="Calibri"/>
        <family val="2"/>
        <scheme val="minor"/>
      </rPr>
      <t>*</t>
    </r>
  </si>
  <si>
    <t>TEAM ANAIS CYCLISME</t>
  </si>
  <si>
    <t>AC COSNAC</t>
  </si>
  <si>
    <t>Elite</t>
  </si>
  <si>
    <t>Open</t>
  </si>
  <si>
    <t>Access</t>
  </si>
  <si>
    <t>Epreuve de masse</t>
  </si>
  <si>
    <t>Loisir (sans compet)</t>
  </si>
  <si>
    <t>U7-U17</t>
  </si>
  <si>
    <t>Jeune Arbitre 14-18</t>
  </si>
  <si>
    <t>Pass Accueil Jeune (-17)</t>
  </si>
  <si>
    <t>Pass Découverte Jeune (+17)</t>
  </si>
  <si>
    <t>Site</t>
  </si>
  <si>
    <t>Calendrier Fédéral</t>
  </si>
  <si>
    <t>ACCESS 1234</t>
  </si>
  <si>
    <t>U23</t>
  </si>
  <si>
    <t>U19</t>
  </si>
  <si>
    <t>U17</t>
  </si>
  <si>
    <t>U15</t>
  </si>
  <si>
    <t>Féminines. U15/U17</t>
  </si>
  <si>
    <t xml:space="preserve">Féminines. Toutes catégories </t>
  </si>
  <si>
    <r>
      <t xml:space="preserve">Fém. Toutes caté </t>
    </r>
    <r>
      <rPr>
        <sz val="8"/>
        <color rgb="FFFF0000"/>
        <rFont val="Calibri"/>
        <family val="2"/>
        <scheme val="minor"/>
      </rPr>
      <t>(création épreuve)</t>
    </r>
  </si>
  <si>
    <t>Epreuve par Handi.</t>
  </si>
  <si>
    <t xml:space="preserve">Rando </t>
  </si>
  <si>
    <t>Gentlement/duathlon /Cyclathlon</t>
  </si>
  <si>
    <t>Master</t>
  </si>
  <si>
    <t>Vétathlon</t>
  </si>
  <si>
    <t>TDJV (1j, 2 disciplines)</t>
  </si>
  <si>
    <t>TDJV (1j, 1 discipline)</t>
  </si>
  <si>
    <t>TRJV - Manches sélectives par jour</t>
  </si>
  <si>
    <t>Samedi Cycl. (jusqu'au 15mars)</t>
  </si>
  <si>
    <r>
      <t xml:space="preserve">Promo (EV+U17+AC) </t>
    </r>
    <r>
      <rPr>
        <sz val="8"/>
        <color rgb="FFFF0000"/>
        <rFont val="Calibri"/>
        <family val="2"/>
        <scheme val="minor"/>
      </rPr>
      <t>sur auto CR</t>
    </r>
  </si>
  <si>
    <r>
      <t>Epreuve de proximité (</t>
    </r>
    <r>
      <rPr>
        <sz val="7"/>
        <color rgb="FFFF0000"/>
        <rFont val="Calibri"/>
        <family val="2"/>
        <scheme val="minor"/>
      </rPr>
      <t>sur auto CR)</t>
    </r>
  </si>
  <si>
    <r>
      <t>Ch. départemental (</t>
    </r>
    <r>
      <rPr>
        <sz val="7"/>
        <color rgb="FFFF0000"/>
        <rFont val="Calibri"/>
        <family val="2"/>
        <scheme val="minor"/>
      </rPr>
      <t>sur auto CR)</t>
    </r>
  </si>
  <si>
    <t>EpreuvesToutes Cat.</t>
  </si>
  <si>
    <t>BRIVE AGGLO Cyclisme</t>
  </si>
  <si>
    <t>GPVTT (Grand Périgueux)</t>
  </si>
  <si>
    <t>ST FIEL VITAMINE</t>
  </si>
  <si>
    <t xml:space="preserve">El+ Op + Acc </t>
  </si>
  <si>
    <t>Open 123 + Acc</t>
  </si>
  <si>
    <t>Open 23 + Acc</t>
  </si>
  <si>
    <t>Open 3 + Acce</t>
  </si>
  <si>
    <t>BRIVE AGGLO CYCLISME</t>
  </si>
  <si>
    <t>VC DU SUD GIRONDE</t>
  </si>
  <si>
    <t>LE GUIDON BELLACHON (SPN)</t>
  </si>
  <si>
    <t>VC ST PRIEST SOUS AIXE</t>
  </si>
  <si>
    <t>EC PASSAGEOISE</t>
  </si>
  <si>
    <t>UC BENEJACQUOISE</t>
  </si>
  <si>
    <t>TEAM EVASION NATURE</t>
  </si>
  <si>
    <t>VC BRAQUET LIDONNAIS </t>
  </si>
  <si>
    <t>CERCLE  AQUITAINE</t>
  </si>
  <si>
    <t>Elite pro Femme - World Tour</t>
  </si>
  <si>
    <t>Elite pro Femme - Continentale</t>
  </si>
  <si>
    <t xml:space="preserve">Direction Pro Femmes </t>
  </si>
  <si>
    <t>Encadrement Pro Femmes</t>
  </si>
  <si>
    <t>assu</t>
  </si>
  <si>
    <t>Pass Assistance Orga</t>
  </si>
  <si>
    <t>AB. France Cyclisme</t>
  </si>
  <si>
    <t>VC OUEST CHARENTE SEGONZAC</t>
  </si>
  <si>
    <t>CHÂTEAU L'EVEQUE CYCLISME</t>
  </si>
  <si>
    <t>TEAM U LH</t>
  </si>
  <si>
    <t>VELO SAUVAGE POITEVIN</t>
  </si>
  <si>
    <t>TEAM CYCLING ENDURANCE</t>
  </si>
  <si>
    <t>US SAINT PALAIS AMIKUZE CYCLISME</t>
  </si>
  <si>
    <t>CYCLO CLUB BOSMIE L'AIGUILLE</t>
  </si>
  <si>
    <t>GS : TEAM PISTE UC CONDAT</t>
  </si>
  <si>
    <t>TEAM STS</t>
  </si>
  <si>
    <t>CC LAPOUYADAIS</t>
  </si>
  <si>
    <t>SUA CYCLISME</t>
  </si>
  <si>
    <t>AUBAZ'VTT EN PAYS D'AUBAZINE</t>
  </si>
  <si>
    <t>CRITERIUM CYCLISTE PRO DE ST SEURIN</t>
  </si>
  <si>
    <t>CYCLO CHALOSSE TURSAN</t>
  </si>
  <si>
    <t xml:space="preserve">ROQUEFORT SARBAZAN NATURE </t>
  </si>
  <si>
    <t>ROQUEFORT SARBAZAN NATURE</t>
  </si>
  <si>
    <t>ASS. SECURITE COURSES 87</t>
  </si>
  <si>
    <t>CL PROMOUVOIR L'ORGANISATION des COURSES</t>
  </si>
  <si>
    <t>TEAM COOP VELOCITE </t>
  </si>
  <si>
    <t>VAL DE SEVRE CYCLISME</t>
  </si>
  <si>
    <t>BRIVE LIMOUSIN TRIATHLON</t>
  </si>
  <si>
    <t>BORDEAUX-LOIRE VALLEY CC</t>
  </si>
  <si>
    <t>AVENSAN VELO NATURE</t>
  </si>
  <si>
    <t>AFTERWORK CYCLING CLUB</t>
  </si>
  <si>
    <t xml:space="preserve">LICENCES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</si>
</sst>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€&quot;"/>
    <numFmt numFmtId="165" formatCode="#,##0.00\ &quot;€&quot;"/>
    <numFmt numFmtId="166" formatCode="[$-40C]d\ mmmm\ yyyy;@"/>
    <numFmt numFmtId="167" formatCode="[$-40C]d\-mmm;@"/>
  </numFmts>
  <fonts count="4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10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sz val="8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b/>
      <sz val="8"/>
      <color rgb="FF003399"/>
      <name val="Calibri"/>
      <family val="2"/>
    </font>
    <font>
      <sz val="6"/>
      <name val="Calibri"/>
      <family val="2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rgb="FFC00000"/>
      <name val="Calibri"/>
      <family val="2"/>
      <scheme val="minor"/>
    </font>
    <font>
      <sz val="8"/>
      <color rgb="FFFF0000"/>
      <name val="Calibri"/>
      <family val="2"/>
      <scheme val="minor"/>
    </font>
    <font>
      <sz val="7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0"/>
      <name val="Calibri"/>
      <family val="2"/>
      <scheme val="minor"/>
    </font>
    <font>
      <sz val="8"/>
      <color rgb="FF0070C0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8"/>
      <name val="Calibri"/>
      <family val="2"/>
      <scheme val="minor"/>
    </font>
    <font>
      <sz val="8"/>
      <color rgb="FF00B050"/>
      <name val="Calibri"/>
      <family val="2"/>
      <scheme val="minor"/>
    </font>
    <font>
      <b/>
      <sz val="8"/>
      <color theme="4"/>
      <name val="Calibri"/>
      <family val="2"/>
      <scheme val="minor"/>
    </font>
    <font>
      <b/>
      <strike/>
      <sz val="8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8"/>
      <color theme="4"/>
      <name val="Calibri"/>
      <family val="2"/>
      <scheme val="minor"/>
    </font>
    <font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mediumGray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hair">
        <color rgb="FFC00000"/>
      </left>
      <right style="hair">
        <color rgb="FFC00000"/>
      </right>
      <top style="hair">
        <color rgb="FFC00000"/>
      </top>
      <bottom/>
      <diagonal/>
    </border>
    <border>
      <left style="hair">
        <color rgb="FFC00000"/>
      </left>
      <right style="hair">
        <color rgb="FFC00000"/>
      </right>
      <top/>
      <bottom style="hair">
        <color rgb="FFC00000"/>
      </bottom>
      <diagonal/>
    </border>
    <border>
      <left/>
      <right style="hair">
        <color rgb="FFC00000"/>
      </right>
      <top/>
      <bottom/>
      <diagonal/>
    </border>
    <border>
      <left style="hair">
        <color theme="2" tint="-0.749992370372631"/>
      </left>
      <right style="hair">
        <color theme="2" tint="-0.749992370372631"/>
      </right>
      <top style="hair">
        <color theme="2" tint="-0.749992370372631"/>
      </top>
      <bottom style="hair">
        <color theme="2" tint="-0.74999237037263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18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left"/>
    </xf>
    <xf numFmtId="0" fontId="6" fillId="3" borderId="0" xfId="0" applyFont="1" applyFill="1" applyAlignment="1" applyProtection="1">
      <alignment horizontal="left" vertical="center"/>
      <protection locked="0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1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164" fontId="2" fillId="0" borderId="0" xfId="0" applyNumberFormat="1" applyFont="1" applyAlignment="1">
      <alignment horizontal="center" vertical="center" shrinkToFit="1"/>
    </xf>
    <xf numFmtId="16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9" fontId="0" fillId="0" borderId="0" xfId="1" applyFont="1" applyFill="1" applyAlignment="1" applyProtection="1">
      <alignment horizontal="center" vertical="center"/>
    </xf>
    <xf numFmtId="165" fontId="1" fillId="0" borderId="0" xfId="1" applyNumberFormat="1" applyFont="1" applyFill="1" applyAlignment="1" applyProtection="1">
      <alignment horizontal="center" vertical="center"/>
    </xf>
    <xf numFmtId="9" fontId="1" fillId="0" borderId="0" xfId="1" applyFont="1" applyAlignment="1" applyProtection="1">
      <alignment horizontal="center" vertical="center"/>
    </xf>
    <xf numFmtId="9" fontId="10" fillId="0" borderId="0" xfId="1" applyFont="1" applyAlignment="1" applyProtection="1">
      <alignment horizontal="left" vertical="center"/>
    </xf>
    <xf numFmtId="9" fontId="0" fillId="0" borderId="0" xfId="1" applyFont="1" applyAlignment="1" applyProtection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21" fillId="2" borderId="0" xfId="0" applyFont="1" applyFill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shrinkToFit="1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/>
    </xf>
    <xf numFmtId="0" fontId="21" fillId="0" borderId="0" xfId="0" applyFont="1" applyAlignment="1">
      <alignment vertical="center"/>
    </xf>
    <xf numFmtId="0" fontId="20" fillId="2" borderId="0" xfId="0" applyFont="1" applyFill="1" applyAlignment="1">
      <alignment horizontal="left" vertical="center"/>
    </xf>
    <xf numFmtId="9" fontId="1" fillId="0" borderId="0" xfId="1" applyFont="1" applyFill="1" applyAlignment="1" applyProtection="1">
      <alignment horizontal="center" vertical="center"/>
    </xf>
    <xf numFmtId="0" fontId="22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165" fontId="2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165" fontId="1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164" fontId="14" fillId="0" borderId="4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 applyProtection="1">
      <alignment horizontal="center" vertical="center"/>
      <protection locked="0"/>
    </xf>
    <xf numFmtId="165" fontId="14" fillId="0" borderId="4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right" vertical="top"/>
    </xf>
    <xf numFmtId="167" fontId="1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165" fontId="2" fillId="0" borderId="0" xfId="0" applyNumberFormat="1" applyFont="1" applyAlignment="1" applyProtection="1">
      <alignment horizontal="center" vertical="center" shrinkToFit="1"/>
      <protection locked="0"/>
    </xf>
    <xf numFmtId="165" fontId="1" fillId="0" borderId="0" xfId="0" applyNumberFormat="1" applyFont="1" applyAlignment="1" applyProtection="1">
      <alignment horizontal="center" vertical="center"/>
      <protection locked="0"/>
    </xf>
    <xf numFmtId="0" fontId="33" fillId="0" borderId="0" xfId="2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1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3" fillId="0" borderId="8" xfId="0" applyFont="1" applyBorder="1"/>
    <xf numFmtId="0" fontId="1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5" fillId="0" borderId="11" xfId="0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13" xfId="0" applyFont="1" applyBorder="1"/>
    <xf numFmtId="0" fontId="5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0" xfId="0" applyFont="1" applyBorder="1"/>
    <xf numFmtId="0" fontId="1" fillId="0" borderId="17" xfId="0" applyFont="1" applyBorder="1"/>
    <xf numFmtId="0" fontId="37" fillId="0" borderId="17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37" fillId="0" borderId="16" xfId="0" applyFont="1" applyBorder="1" applyAlignment="1">
      <alignment horizontal="center" vertical="center"/>
    </xf>
    <xf numFmtId="0" fontId="38" fillId="0" borderId="19" xfId="0" applyFont="1" applyBorder="1"/>
    <xf numFmtId="0" fontId="1" fillId="0" borderId="20" xfId="0" applyFont="1" applyBorder="1"/>
    <xf numFmtId="0" fontId="38" fillId="0" borderId="21" xfId="0" applyFont="1" applyBorder="1"/>
    <xf numFmtId="0" fontId="1" fillId="0" borderId="22" xfId="0" applyFont="1" applyBorder="1"/>
    <xf numFmtId="0" fontId="1" fillId="0" borderId="19" xfId="0" applyFont="1" applyBorder="1"/>
    <xf numFmtId="0" fontId="37" fillId="0" borderId="23" xfId="0" applyFont="1" applyBorder="1" applyAlignment="1">
      <alignment horizontal="center" vertical="center"/>
    </xf>
    <xf numFmtId="0" fontId="1" fillId="0" borderId="9" xfId="0" applyFont="1" applyBorder="1"/>
    <xf numFmtId="0" fontId="1" fillId="0" borderId="12" xfId="0" applyFont="1" applyBorder="1" applyAlignment="1">
      <alignment horizontal="left"/>
    </xf>
    <xf numFmtId="0" fontId="5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0" borderId="15" xfId="0" applyFont="1" applyBorder="1" applyAlignment="1">
      <alignment horizontal="center"/>
    </xf>
    <xf numFmtId="0" fontId="39" fillId="0" borderId="0" xfId="0" applyFont="1"/>
    <xf numFmtId="0" fontId="3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4" fontId="1" fillId="0" borderId="17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1" fillId="0" borderId="0" xfId="0" applyFont="1"/>
    <xf numFmtId="0" fontId="30" fillId="0" borderId="0" xfId="0" applyFont="1"/>
    <xf numFmtId="0" fontId="0" fillId="0" borderId="0" xfId="0" applyAlignment="1">
      <alignment vertical="center"/>
    </xf>
    <xf numFmtId="0" fontId="37" fillId="8" borderId="0" xfId="0" applyFont="1" applyFill="1"/>
    <xf numFmtId="0" fontId="1" fillId="9" borderId="0" xfId="0" applyFont="1" applyFill="1"/>
    <xf numFmtId="0" fontId="3" fillId="9" borderId="0" xfId="0" applyFont="1" applyFill="1"/>
    <xf numFmtId="0" fontId="30" fillId="7" borderId="0" xfId="0" applyFont="1" applyFill="1"/>
    <xf numFmtId="0" fontId="1" fillId="10" borderId="0" xfId="0" applyFont="1" applyFill="1"/>
    <xf numFmtId="0" fontId="3" fillId="10" borderId="0" xfId="0" applyFont="1" applyFill="1"/>
    <xf numFmtId="0" fontId="4" fillId="10" borderId="0" xfId="0" applyFont="1" applyFill="1"/>
    <xf numFmtId="0" fontId="1" fillId="0" borderId="0" xfId="0" applyFont="1" applyAlignment="1">
      <alignment vertical="center"/>
    </xf>
    <xf numFmtId="0" fontId="30" fillId="4" borderId="0" xfId="0" applyFont="1" applyFill="1"/>
    <xf numFmtId="0" fontId="30" fillId="11" borderId="0" xfId="0" applyFont="1" applyFill="1"/>
    <xf numFmtId="0" fontId="1" fillId="8" borderId="0" xfId="0" applyFont="1" applyFill="1"/>
    <xf numFmtId="0" fontId="1" fillId="12" borderId="0" xfId="0" applyFont="1" applyFill="1"/>
    <xf numFmtId="0" fontId="1" fillId="12" borderId="0" xfId="2" applyFont="1" applyFill="1" applyAlignment="1">
      <alignment horizontal="left" vertical="center"/>
    </xf>
    <xf numFmtId="0" fontId="1" fillId="12" borderId="0" xfId="2" applyFont="1" applyFill="1"/>
    <xf numFmtId="0" fontId="1" fillId="12" borderId="0" xfId="0" applyFont="1" applyFill="1" applyAlignment="1">
      <alignment vertical="center"/>
    </xf>
    <xf numFmtId="0" fontId="30" fillId="12" borderId="0" xfId="0" applyFont="1" applyFill="1"/>
    <xf numFmtId="0" fontId="35" fillId="12" borderId="0" xfId="0" applyFont="1" applyFill="1"/>
    <xf numFmtId="164" fontId="20" fillId="10" borderId="0" xfId="0" applyNumberFormat="1" applyFont="1" applyFill="1" applyAlignment="1">
      <alignment horizontal="left" vertical="center"/>
    </xf>
    <xf numFmtId="0" fontId="1" fillId="10" borderId="0" xfId="0" applyFont="1" applyFill="1" applyAlignment="1">
      <alignment horizontal="left" vertical="center"/>
    </xf>
    <xf numFmtId="164" fontId="1" fillId="10" borderId="0" xfId="0" applyNumberFormat="1" applyFont="1" applyFill="1" applyAlignment="1">
      <alignment horizontal="left" vertical="center"/>
    </xf>
    <xf numFmtId="164" fontId="1" fillId="10" borderId="0" xfId="0" applyNumberFormat="1" applyFont="1" applyFill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10" fillId="10" borderId="0" xfId="0" applyFont="1" applyFill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0" fillId="3" borderId="0" xfId="0" applyFill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right" vertical="center" shrinkToFit="1"/>
    </xf>
    <xf numFmtId="0" fontId="16" fillId="2" borderId="0" xfId="0" applyFont="1" applyFill="1" applyAlignment="1">
      <alignment horizontal="right" vertical="center" wrapText="1"/>
    </xf>
    <xf numFmtId="0" fontId="28" fillId="2" borderId="0" xfId="0" applyFont="1" applyFill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6" fillId="3" borderId="0" xfId="0" applyFont="1" applyFill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27" fillId="5" borderId="4" xfId="0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 applyProtection="1">
      <alignment horizontal="center" vertical="center" shrinkToFit="1"/>
      <protection locked="0"/>
    </xf>
    <xf numFmtId="14" fontId="13" fillId="0" borderId="4" xfId="0" applyNumberFormat="1" applyFont="1" applyBorder="1" applyAlignment="1" applyProtection="1">
      <alignment horizontal="center" vertical="center" wrapText="1"/>
      <protection locked="0"/>
    </xf>
    <xf numFmtId="167" fontId="1" fillId="0" borderId="4" xfId="0" applyNumberFormat="1" applyFont="1" applyBorder="1" applyAlignment="1" applyProtection="1">
      <alignment horizontal="center" vertical="center" wrapText="1"/>
      <protection locked="0"/>
    </xf>
    <xf numFmtId="164" fontId="14" fillId="0" borderId="4" xfId="0" applyNumberFormat="1" applyFont="1" applyBorder="1" applyAlignment="1">
      <alignment horizontal="center" vertical="center"/>
    </xf>
    <xf numFmtId="166" fontId="7" fillId="3" borderId="0" xfId="0" applyNumberFormat="1" applyFont="1" applyFill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65" fontId="19" fillId="2" borderId="1" xfId="0" applyNumberFormat="1" applyFont="1" applyFill="1" applyBorder="1" applyAlignment="1">
      <alignment horizontal="center" vertical="center"/>
    </xf>
    <xf numFmtId="165" fontId="19" fillId="2" borderId="2" xfId="0" applyNumberFormat="1" applyFont="1" applyFill="1" applyBorder="1" applyAlignment="1">
      <alignment horizontal="center" vertical="center"/>
    </xf>
    <xf numFmtId="165" fontId="5" fillId="0" borderId="4" xfId="0" applyNumberFormat="1" applyFont="1" applyBorder="1" applyAlignment="1" applyProtection="1">
      <alignment horizontal="center" vertical="center" shrinkToFit="1"/>
      <protection locked="0"/>
    </xf>
    <xf numFmtId="165" fontId="1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40" fillId="6" borderId="0" xfId="0" applyFont="1" applyFill="1" applyAlignment="1">
      <alignment horizontal="center" vertical="center"/>
    </xf>
    <xf numFmtId="167" fontId="42" fillId="0" borderId="4" xfId="0" applyNumberFormat="1" applyFont="1" applyBorder="1" applyAlignment="1" applyProtection="1">
      <alignment horizontal="center" vertical="center" wrapText="1"/>
      <protection locked="0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54</xdr:row>
      <xdr:rowOff>19050</xdr:rowOff>
    </xdr:from>
    <xdr:to>
      <xdr:col>14</xdr:col>
      <xdr:colOff>571499</xdr:colOff>
      <xdr:row>57</xdr:row>
      <xdr:rowOff>92959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10172700"/>
          <a:ext cx="2771774" cy="4263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735009</xdr:colOff>
      <xdr:row>3</xdr:row>
      <xdr:rowOff>78405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6974" cy="648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180975</xdr:rowOff>
        </xdr:from>
        <xdr:to>
          <xdr:col>1</xdr:col>
          <xdr:colOff>28575</xdr:colOff>
          <xdr:row>47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180975</xdr:rowOff>
        </xdr:from>
        <xdr:to>
          <xdr:col>1</xdr:col>
          <xdr:colOff>28575</xdr:colOff>
          <xdr:row>48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0</xdr:rowOff>
        </xdr:from>
        <xdr:to>
          <xdr:col>1</xdr:col>
          <xdr:colOff>28575</xdr:colOff>
          <xdr:row>49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180975</xdr:rowOff>
        </xdr:from>
        <xdr:to>
          <xdr:col>1</xdr:col>
          <xdr:colOff>28575</xdr:colOff>
          <xdr:row>50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javascript:OpenClub('gridStructure_GridKey','9deb10c4-070f-46bf-bfb7-17a35cfc201d','GENE');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javascript:OpenClub('gridStructure_GridKey','9deb10c4-070f-46bf-bfb7-17a35cfc201d','GENE');" TargetMode="External"/><Relationship Id="rId2" Type="http://schemas.openxmlformats.org/officeDocument/2006/relationships/hyperlink" Target="javascript:OpenClub('gridStructure_GridKey','3cc2c801-57c7-4b53-99d8-05c4ddd7ab0c','GENE');" TargetMode="External"/><Relationship Id="rId1" Type="http://schemas.openxmlformats.org/officeDocument/2006/relationships/hyperlink" Target="javascript:OpenClub('gridStructure_GridKey','18337f34-d707-4f0d-b872-afffc25ab66c','GENE');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BCA0C-3BF2-4DCA-8673-4EB70A7DEF6F}">
  <sheetPr codeName="Feuil1"/>
  <dimension ref="A1:T58"/>
  <sheetViews>
    <sheetView tabSelected="1" zoomScaleNormal="100" workbookViewId="0">
      <selection activeCell="N18" sqref="N18:O18"/>
    </sheetView>
  </sheetViews>
  <sheetFormatPr baseColWidth="10" defaultColWidth="11.42578125" defaultRowHeight="15" x14ac:dyDescent="0.25"/>
  <cols>
    <col min="1" max="1" width="2.7109375" style="8" customWidth="1"/>
    <col min="2" max="2" width="4.42578125" style="16" customWidth="1"/>
    <col min="3" max="3" width="13.28515625" style="16" customWidth="1"/>
    <col min="4" max="4" width="10.7109375" style="16" customWidth="1"/>
    <col min="5" max="5" width="5.7109375" style="16" customWidth="1"/>
    <col min="6" max="6" width="10.7109375" style="16" customWidth="1"/>
    <col min="7" max="7" width="7.5703125" style="16" bestFit="1" customWidth="1"/>
    <col min="8" max="8" width="4.7109375" style="22" customWidth="1"/>
    <col min="9" max="9" width="4.7109375" style="16" customWidth="1"/>
    <col min="10" max="10" width="3.7109375" style="16" customWidth="1"/>
    <col min="11" max="11" width="5.7109375" style="16" customWidth="1"/>
    <col min="12" max="12" width="3.7109375" style="22" customWidth="1"/>
    <col min="13" max="13" width="5.7109375" style="17" customWidth="1"/>
    <col min="14" max="14" width="8.7109375" style="17" customWidth="1"/>
    <col min="15" max="15" width="8.7109375" style="16" customWidth="1"/>
    <col min="16" max="17" width="6.7109375" style="8" hidden="1" customWidth="1"/>
    <col min="18" max="16384" width="11.42578125" style="16"/>
  </cols>
  <sheetData>
    <row r="1" spans="1:17" ht="20.100000000000001" customHeight="1" x14ac:dyDescent="0.25">
      <c r="A1" s="14"/>
      <c r="B1" s="14"/>
      <c r="C1" s="14"/>
      <c r="D1" s="15"/>
      <c r="E1" s="157" t="s">
        <v>348</v>
      </c>
      <c r="F1" s="157"/>
      <c r="G1" s="157"/>
      <c r="H1" s="158" t="s">
        <v>351</v>
      </c>
      <c r="I1" s="158"/>
      <c r="J1" s="158"/>
      <c r="K1" s="158"/>
      <c r="L1" s="158"/>
      <c r="M1" s="158"/>
      <c r="N1" s="158"/>
      <c r="O1" s="158"/>
    </row>
    <row r="2" spans="1:17" ht="10.15" customHeight="1" x14ac:dyDescent="0.25">
      <c r="G2" s="18"/>
      <c r="H2" s="18"/>
      <c r="I2" s="18"/>
      <c r="J2" s="18"/>
      <c r="K2" s="18"/>
      <c r="L2" s="18"/>
    </row>
    <row r="3" spans="1:17" s="19" customFormat="1" x14ac:dyDescent="0.25">
      <c r="F3" s="61" t="s">
        <v>285</v>
      </c>
      <c r="G3" s="165" t="str">
        <f ca="1">Données!F45</f>
        <v>412161</v>
      </c>
      <c r="H3" s="165"/>
      <c r="M3" s="21" t="s">
        <v>291</v>
      </c>
      <c r="N3" s="166">
        <f ca="1">TODAY()</f>
        <v>45642</v>
      </c>
      <c r="O3" s="166"/>
      <c r="P3" s="8"/>
      <c r="Q3" s="8"/>
    </row>
    <row r="4" spans="1:17" s="19" customFormat="1" ht="8.1" customHeight="1" x14ac:dyDescent="0.25">
      <c r="G4" s="20"/>
      <c r="H4" s="20"/>
      <c r="I4" s="20"/>
      <c r="M4" s="17"/>
      <c r="N4" s="17"/>
      <c r="P4" s="8"/>
      <c r="Q4" s="8"/>
    </row>
    <row r="5" spans="1:17" x14ac:dyDescent="0.25">
      <c r="A5" s="22"/>
      <c r="C5" s="185">
        <v>2025</v>
      </c>
      <c r="D5" s="185"/>
      <c r="F5" s="21" t="s">
        <v>277</v>
      </c>
      <c r="G5" s="13"/>
      <c r="I5" s="23" t="s">
        <v>282</v>
      </c>
      <c r="J5" s="164"/>
      <c r="K5" s="164"/>
      <c r="L5" s="164"/>
      <c r="M5" s="164"/>
      <c r="N5" s="164"/>
      <c r="O5" s="164"/>
    </row>
    <row r="6" spans="1:17" ht="15" customHeight="1" x14ac:dyDescent="0.25">
      <c r="C6" s="185"/>
      <c r="D6" s="185"/>
      <c r="I6" s="23" t="s">
        <v>286</v>
      </c>
      <c r="J6" s="154" t="str">
        <f>IF(J5="","",VLOOKUP(J5,Données!B1:D288,2,FALSE))</f>
        <v/>
      </c>
      <c r="K6" s="154"/>
      <c r="L6" s="154"/>
      <c r="M6" s="16"/>
    </row>
    <row r="7" spans="1:17" ht="12.95" customHeight="1" x14ac:dyDescent="0.25"/>
    <row r="8" spans="1:17" s="8" customFormat="1" ht="12.75" x14ac:dyDescent="0.25">
      <c r="A8" s="63"/>
      <c r="B8" s="54" t="s">
        <v>339</v>
      </c>
      <c r="C8" s="54"/>
      <c r="D8" s="62"/>
      <c r="E8" s="62"/>
      <c r="F8" s="62"/>
      <c r="G8" s="62"/>
      <c r="I8" s="51"/>
      <c r="J8" s="51"/>
      <c r="N8" s="48"/>
      <c r="O8" s="78"/>
      <c r="P8" s="17"/>
      <c r="Q8" s="17"/>
    </row>
    <row r="9" spans="1:17" s="25" customFormat="1" ht="21.95" customHeight="1" x14ac:dyDescent="0.25">
      <c r="A9" s="167" t="s">
        <v>309</v>
      </c>
      <c r="B9" s="167"/>
      <c r="C9" s="167" t="s">
        <v>278</v>
      </c>
      <c r="D9" s="167"/>
      <c r="E9" s="167" t="s">
        <v>308</v>
      </c>
      <c r="F9" s="167"/>
      <c r="G9" s="69" t="s">
        <v>340</v>
      </c>
      <c r="H9" s="171" t="s">
        <v>279</v>
      </c>
      <c r="I9" s="171"/>
      <c r="J9" s="171" t="s">
        <v>280</v>
      </c>
      <c r="K9" s="171"/>
      <c r="L9" s="167" t="s">
        <v>383</v>
      </c>
      <c r="M9" s="167"/>
      <c r="N9" s="69" t="s">
        <v>384</v>
      </c>
      <c r="O9" s="70" t="s">
        <v>281</v>
      </c>
      <c r="P9" s="24"/>
      <c r="Q9" s="24"/>
    </row>
    <row r="10" spans="1:17" x14ac:dyDescent="0.25">
      <c r="A10" s="173"/>
      <c r="B10" s="173"/>
      <c r="C10" s="186"/>
      <c r="D10" s="186"/>
      <c r="E10" s="174"/>
      <c r="F10" s="174"/>
      <c r="G10" s="71"/>
      <c r="H10" s="184"/>
      <c r="I10" s="184"/>
      <c r="J10" s="172"/>
      <c r="K10" s="172"/>
      <c r="L10" s="183"/>
      <c r="M10" s="183"/>
      <c r="N10" s="72"/>
      <c r="O10" s="73" t="str">
        <f>IF(G10="","",SUM(J10:N10))</f>
        <v/>
      </c>
      <c r="P10" s="17"/>
      <c r="Q10" s="17"/>
    </row>
    <row r="11" spans="1:17" x14ac:dyDescent="0.25">
      <c r="A11" s="173"/>
      <c r="B11" s="173"/>
      <c r="C11" s="174"/>
      <c r="D11" s="174"/>
      <c r="E11" s="174"/>
      <c r="F11" s="174"/>
      <c r="G11" s="71"/>
      <c r="H11" s="184"/>
      <c r="I11" s="184"/>
      <c r="J11" s="172"/>
      <c r="K11" s="172"/>
      <c r="L11" s="183"/>
      <c r="M11" s="183"/>
      <c r="N11" s="72"/>
      <c r="O11" s="73" t="str">
        <f t="shared" ref="O11:O15" si="0">IF(G11="","",SUM(J11:N11))</f>
        <v/>
      </c>
      <c r="P11" s="17"/>
      <c r="Q11" s="17"/>
    </row>
    <row r="12" spans="1:17" x14ac:dyDescent="0.25">
      <c r="A12" s="173"/>
      <c r="B12" s="173"/>
      <c r="C12" s="174"/>
      <c r="D12" s="174"/>
      <c r="E12" s="174"/>
      <c r="F12" s="174"/>
      <c r="G12" s="71"/>
      <c r="H12" s="184"/>
      <c r="I12" s="184"/>
      <c r="J12" s="172"/>
      <c r="K12" s="172"/>
      <c r="L12" s="183"/>
      <c r="M12" s="183"/>
      <c r="N12" s="72"/>
      <c r="O12" s="73" t="str">
        <f t="shared" si="0"/>
        <v/>
      </c>
      <c r="P12" s="17"/>
      <c r="Q12" s="17"/>
    </row>
    <row r="13" spans="1:17" x14ac:dyDescent="0.25">
      <c r="A13" s="173"/>
      <c r="B13" s="173"/>
      <c r="C13" s="174"/>
      <c r="D13" s="174"/>
      <c r="E13" s="174"/>
      <c r="F13" s="174"/>
      <c r="G13" s="71"/>
      <c r="H13" s="184"/>
      <c r="I13" s="184"/>
      <c r="J13" s="172"/>
      <c r="K13" s="172"/>
      <c r="L13" s="183"/>
      <c r="M13" s="183"/>
      <c r="N13" s="72"/>
      <c r="O13" s="73" t="str">
        <f t="shared" si="0"/>
        <v/>
      </c>
      <c r="P13" s="17"/>
      <c r="Q13" s="17"/>
    </row>
    <row r="14" spans="1:17" x14ac:dyDescent="0.25">
      <c r="A14" s="173"/>
      <c r="B14" s="173"/>
      <c r="C14" s="174"/>
      <c r="D14" s="174"/>
      <c r="E14" s="174"/>
      <c r="F14" s="174"/>
      <c r="G14" s="71"/>
      <c r="H14" s="184"/>
      <c r="I14" s="184"/>
      <c r="J14" s="172"/>
      <c r="K14" s="172"/>
      <c r="L14" s="183"/>
      <c r="M14" s="183"/>
      <c r="N14" s="72"/>
      <c r="O14" s="73" t="str">
        <f t="shared" si="0"/>
        <v/>
      </c>
      <c r="P14" s="17"/>
      <c r="Q14" s="17"/>
    </row>
    <row r="15" spans="1:17" x14ac:dyDescent="0.25">
      <c r="A15" s="173"/>
      <c r="B15" s="173"/>
      <c r="C15" s="174"/>
      <c r="D15" s="174"/>
      <c r="E15" s="174"/>
      <c r="F15" s="174"/>
      <c r="G15" s="71"/>
      <c r="H15" s="184"/>
      <c r="I15" s="184"/>
      <c r="J15" s="172"/>
      <c r="K15" s="172"/>
      <c r="L15" s="183"/>
      <c r="M15" s="183"/>
      <c r="N15" s="72"/>
      <c r="O15" s="73" t="str">
        <f t="shared" si="0"/>
        <v/>
      </c>
      <c r="P15" s="17"/>
      <c r="Q15" s="17"/>
    </row>
    <row r="16" spans="1:17" x14ac:dyDescent="0.25">
      <c r="A16" s="79"/>
      <c r="B16" s="79"/>
      <c r="C16" s="79"/>
      <c r="D16" s="79"/>
      <c r="E16" s="79"/>
      <c r="F16" s="79"/>
      <c r="G16" s="80"/>
      <c r="H16" s="81"/>
      <c r="I16" s="81"/>
      <c r="J16" s="82"/>
      <c r="K16" s="82"/>
      <c r="L16" s="83"/>
      <c r="M16" s="83"/>
      <c r="N16" s="83"/>
      <c r="O16" s="78" t="s">
        <v>382</v>
      </c>
      <c r="P16" s="17"/>
      <c r="Q16" s="17"/>
    </row>
    <row r="17" spans="1:19" ht="15" customHeight="1" x14ac:dyDescent="0.25">
      <c r="A17" s="32"/>
      <c r="B17" s="19"/>
      <c r="C17" s="19"/>
      <c r="D17" s="28"/>
      <c r="E17" s="28"/>
      <c r="F17" s="29"/>
      <c r="G17" s="29"/>
      <c r="H17" s="29"/>
      <c r="I17" s="29"/>
      <c r="J17" s="29"/>
      <c r="K17" s="29"/>
      <c r="L17" s="29"/>
      <c r="M17" s="26"/>
      <c r="N17" s="16"/>
    </row>
    <row r="18" spans="1:19" s="8" customFormat="1" ht="20.100000000000001" customHeight="1" x14ac:dyDescent="0.25">
      <c r="A18" s="50"/>
      <c r="B18" s="54" t="s">
        <v>350</v>
      </c>
      <c r="C18" s="54"/>
      <c r="D18" s="54"/>
      <c r="E18" s="37"/>
      <c r="F18" s="65"/>
      <c r="G18" s="156" t="s">
        <v>335</v>
      </c>
      <c r="H18" s="156"/>
      <c r="I18" s="156"/>
      <c r="J18" s="156"/>
      <c r="K18" s="156"/>
      <c r="L18" s="156"/>
      <c r="M18" s="156"/>
      <c r="N18" s="182"/>
      <c r="O18" s="182"/>
    </row>
    <row r="19" spans="1:19" ht="15" customHeight="1" x14ac:dyDescent="0.25">
      <c r="A19" s="27"/>
      <c r="B19" s="19" t="str">
        <f>IF(A19=Données!$I$36,"  -   ","")</f>
        <v/>
      </c>
      <c r="C19" s="19"/>
      <c r="D19" s="28"/>
      <c r="E19" s="28"/>
      <c r="F19" s="29"/>
      <c r="G19" s="29"/>
      <c r="H19" s="30"/>
      <c r="I19" s="17" t="str">
        <f>IF(A19=Données!$I$36,"  -   ","")</f>
        <v/>
      </c>
      <c r="J19" s="31"/>
      <c r="K19" s="8"/>
      <c r="L19" s="17" t="str">
        <f t="shared" ref="L19" si="1">IF(G19="","",SUM(I19:K19))</f>
        <v/>
      </c>
      <c r="N19" s="26"/>
    </row>
    <row r="20" spans="1:19" s="8" customFormat="1" ht="12.75" x14ac:dyDescent="0.25">
      <c r="A20" s="53"/>
      <c r="B20" s="53" t="s">
        <v>345</v>
      </c>
      <c r="C20" s="66"/>
      <c r="F20" s="51"/>
      <c r="M20" s="51"/>
      <c r="N20" s="17"/>
      <c r="O20" s="17"/>
    </row>
    <row r="21" spans="1:19" s="8" customFormat="1" ht="15" customHeight="1" x14ac:dyDescent="0.25">
      <c r="A21" s="163" t="s">
        <v>346</v>
      </c>
      <c r="B21" s="163"/>
      <c r="C21" s="163"/>
      <c r="D21" s="163"/>
      <c r="E21" s="163"/>
      <c r="F21" s="161" t="s">
        <v>280</v>
      </c>
      <c r="G21" s="161"/>
      <c r="H21" s="163" t="s">
        <v>396</v>
      </c>
      <c r="I21" s="163"/>
      <c r="J21" s="163"/>
      <c r="K21" s="163"/>
      <c r="L21" s="163"/>
      <c r="M21" s="163"/>
      <c r="N21" s="161" t="s">
        <v>281</v>
      </c>
      <c r="O21" s="161"/>
      <c r="P21" s="24"/>
      <c r="Q21" s="24"/>
    </row>
    <row r="22" spans="1:19" ht="15" customHeight="1" x14ac:dyDescent="0.25">
      <c r="A22" s="168"/>
      <c r="B22" s="168"/>
      <c r="C22" s="168"/>
      <c r="D22" s="168"/>
      <c r="E22" s="168"/>
      <c r="F22" s="159" t="str">
        <f>IF($A22="","",VLOOKUP($A22,Données!$F$26:$J$31,2,FALSE))</f>
        <v/>
      </c>
      <c r="G22" s="159"/>
      <c r="H22" s="159"/>
      <c r="I22" s="159"/>
      <c r="J22" s="159"/>
      <c r="K22" s="159"/>
      <c r="L22" s="159"/>
      <c r="M22" s="159"/>
      <c r="N22" s="160" t="str">
        <f>F22</f>
        <v/>
      </c>
      <c r="O22" s="160"/>
      <c r="P22" s="17"/>
      <c r="Q22" s="17"/>
      <c r="R22" s="8"/>
      <c r="S22" s="8"/>
    </row>
    <row r="23" spans="1:19" ht="15" customHeight="1" x14ac:dyDescent="0.25">
      <c r="A23" s="168"/>
      <c r="B23" s="168"/>
      <c r="C23" s="168"/>
      <c r="D23" s="168"/>
      <c r="E23" s="168"/>
      <c r="F23" s="159" t="str">
        <f>IF($A23="","",VLOOKUP($A23,Données!$F$26:$J$31,2,FALSE))</f>
        <v/>
      </c>
      <c r="G23" s="159"/>
      <c r="H23" s="159" t="str">
        <f>IF($A23="","",VLOOKUP($A23,Données!$F$26:$J$31,5,FALSE))</f>
        <v/>
      </c>
      <c r="I23" s="159"/>
      <c r="J23" s="159"/>
      <c r="K23" s="159"/>
      <c r="L23" s="159"/>
      <c r="M23" s="159"/>
      <c r="N23" s="159" t="str">
        <f>F23</f>
        <v/>
      </c>
      <c r="O23" s="159"/>
      <c r="P23" s="17"/>
      <c r="Q23" s="17"/>
      <c r="R23" s="8"/>
      <c r="S23" s="8"/>
    </row>
    <row r="24" spans="1:19" ht="15" customHeight="1" x14ac:dyDescent="0.25">
      <c r="G24" s="67"/>
      <c r="H24" s="67"/>
      <c r="I24" s="8"/>
      <c r="J24" s="8"/>
      <c r="K24" s="8"/>
      <c r="L24" s="8"/>
      <c r="M24" s="8"/>
      <c r="N24" s="67"/>
      <c r="O24" s="17"/>
      <c r="P24" s="17"/>
    </row>
    <row r="25" spans="1:19" s="8" customFormat="1" ht="12.75" x14ac:dyDescent="0.25">
      <c r="A25" s="54"/>
      <c r="B25" s="54" t="s">
        <v>466</v>
      </c>
      <c r="C25" s="54"/>
      <c r="D25" s="148" t="s">
        <v>349</v>
      </c>
      <c r="E25" s="149"/>
      <c r="F25" s="150"/>
      <c r="G25" s="151"/>
      <c r="H25" s="152"/>
      <c r="I25" s="152"/>
      <c r="J25" s="152"/>
      <c r="K25" s="152"/>
      <c r="L25" s="152"/>
      <c r="M25" s="152"/>
      <c r="N25" s="152"/>
      <c r="O25" s="51"/>
      <c r="P25" s="17"/>
      <c r="Q25" s="17"/>
    </row>
    <row r="26" spans="1:19" s="25" customFormat="1" ht="15" customHeight="1" x14ac:dyDescent="0.25">
      <c r="A26" s="167" t="s">
        <v>278</v>
      </c>
      <c r="B26" s="167"/>
      <c r="C26" s="167"/>
      <c r="D26" s="167" t="s">
        <v>341</v>
      </c>
      <c r="E26" s="167"/>
      <c r="F26" s="69" t="s">
        <v>279</v>
      </c>
      <c r="G26" s="171" t="s">
        <v>280</v>
      </c>
      <c r="H26" s="171"/>
      <c r="I26" s="69" t="s">
        <v>342</v>
      </c>
      <c r="J26" s="170" t="s">
        <v>343</v>
      </c>
      <c r="K26" s="170"/>
      <c r="L26" s="170" t="s">
        <v>441</v>
      </c>
      <c r="M26" s="170"/>
      <c r="N26" s="69" t="s">
        <v>344</v>
      </c>
      <c r="O26" s="70" t="s">
        <v>281</v>
      </c>
      <c r="P26" s="24" t="s">
        <v>4</v>
      </c>
      <c r="Q26" s="24" t="s">
        <v>5</v>
      </c>
    </row>
    <row r="27" spans="1:19" ht="15" customHeight="1" x14ac:dyDescent="0.25">
      <c r="A27" s="169"/>
      <c r="B27" s="169"/>
      <c r="C27" s="169"/>
      <c r="D27" s="169"/>
      <c r="E27" s="169"/>
      <c r="F27" s="74"/>
      <c r="G27" s="175" t="str">
        <f>IF(F27="","",VLOOKUP(F27,Données!$F$6:$J$25,2,FALSE))</f>
        <v/>
      </c>
      <c r="H27" s="175"/>
      <c r="I27" s="75" t="str">
        <f>IF(AND($G$5="CD.33",F27&gt;0),VLOOKUP(F27,Données!$F$6:$J$25,5,FALSE),"")</f>
        <v/>
      </c>
      <c r="J27" s="170"/>
      <c r="K27" s="170"/>
      <c r="L27" s="170"/>
      <c r="M27" s="170"/>
      <c r="N27" s="76"/>
      <c r="O27" s="77" t="str">
        <f>IF(F27="","",SUM(G27:N27))</f>
        <v/>
      </c>
      <c r="P27" s="68" t="str">
        <f>IF(F27="","",VLOOKUP(F27,Données!$F$6:$J$25,3,FALSE))</f>
        <v/>
      </c>
      <c r="Q27" s="68" t="str">
        <f>IF(F27="","",VLOOKUP(F27,Données!$F$6:$J$25,4,FALSE))</f>
        <v/>
      </c>
    </row>
    <row r="28" spans="1:19" ht="15" customHeight="1" x14ac:dyDescent="0.25">
      <c r="A28" s="169"/>
      <c r="B28" s="169"/>
      <c r="C28" s="169"/>
      <c r="D28" s="169"/>
      <c r="E28" s="169"/>
      <c r="F28" s="74"/>
      <c r="G28" s="175" t="str">
        <f>IF(F28="","",VLOOKUP(F28,Données!$F$6:$J$25,2,FALSE))</f>
        <v/>
      </c>
      <c r="H28" s="175"/>
      <c r="I28" s="75" t="str">
        <f>IF(AND($G$5="CD.33",F28&gt;0),VLOOKUP(F28,Données!$F$6:$J$25,5,FALSE),"")</f>
        <v/>
      </c>
      <c r="J28" s="170"/>
      <c r="K28" s="170"/>
      <c r="L28" s="170"/>
      <c r="M28" s="170"/>
      <c r="N28" s="76"/>
      <c r="O28" s="77" t="str">
        <f t="shared" ref="O28:O36" si="2">IF(F28="","",SUM(G28:N28))</f>
        <v/>
      </c>
      <c r="P28" s="68" t="str">
        <f>IF(F28="","",VLOOKUP(F28,Données!$F$6:$J$25,3,FALSE))</f>
        <v/>
      </c>
      <c r="Q28" s="68" t="str">
        <f>IF(F28="","",VLOOKUP(F28,Données!$F$6:$J$25,4,FALSE))</f>
        <v/>
      </c>
    </row>
    <row r="29" spans="1:19" ht="15" customHeight="1" x14ac:dyDescent="0.25">
      <c r="A29" s="169"/>
      <c r="B29" s="169"/>
      <c r="C29" s="169"/>
      <c r="D29" s="169"/>
      <c r="E29" s="169"/>
      <c r="F29" s="74"/>
      <c r="G29" s="175" t="str">
        <f>IF(F29="","",VLOOKUP(F29,Données!$F$6:$J$25,2,FALSE))</f>
        <v/>
      </c>
      <c r="H29" s="175"/>
      <c r="I29" s="75" t="str">
        <f>IF(AND($G$5="CD.33",F29&gt;0),VLOOKUP(F29,Données!$F$6:$J$25,5,FALSE),"")</f>
        <v/>
      </c>
      <c r="J29" s="170"/>
      <c r="K29" s="170"/>
      <c r="L29" s="170"/>
      <c r="M29" s="170"/>
      <c r="N29" s="76"/>
      <c r="O29" s="77" t="str">
        <f t="shared" si="2"/>
        <v/>
      </c>
      <c r="P29" s="68" t="str">
        <f>IF(F29="","",VLOOKUP(F29,Données!$F$6:$J$25,3,FALSE))</f>
        <v/>
      </c>
      <c r="Q29" s="68" t="str">
        <f>IF(F29="","",VLOOKUP(F29,Données!$F$6:$J$25,4,FALSE))</f>
        <v/>
      </c>
    </row>
    <row r="30" spans="1:19" ht="15" customHeight="1" x14ac:dyDescent="0.25">
      <c r="A30" s="169"/>
      <c r="B30" s="169"/>
      <c r="C30" s="169"/>
      <c r="D30" s="169"/>
      <c r="E30" s="169"/>
      <c r="F30" s="74"/>
      <c r="G30" s="175" t="str">
        <f>IF(F30="","",VLOOKUP(F30,Données!$F$6:$J$25,2,FALSE))</f>
        <v/>
      </c>
      <c r="H30" s="175"/>
      <c r="I30" s="75" t="str">
        <f>IF(AND($G$5="CD.33",F30&gt;0),VLOOKUP(F30,Données!$F$6:$J$25,5,FALSE),"")</f>
        <v/>
      </c>
      <c r="J30" s="170"/>
      <c r="K30" s="170"/>
      <c r="L30" s="170"/>
      <c r="M30" s="170"/>
      <c r="N30" s="76"/>
      <c r="O30" s="77" t="str">
        <f t="shared" si="2"/>
        <v/>
      </c>
      <c r="P30" s="68" t="str">
        <f>IF(F30="","",VLOOKUP(F30,Données!$F$6:$J$25,3,FALSE))</f>
        <v/>
      </c>
      <c r="Q30" s="68" t="str">
        <f>IF(F30="","",VLOOKUP(F30,Données!$F$6:$J$25,4,FALSE))</f>
        <v/>
      </c>
    </row>
    <row r="31" spans="1:19" ht="15" customHeight="1" x14ac:dyDescent="0.25">
      <c r="A31" s="169"/>
      <c r="B31" s="169"/>
      <c r="C31" s="169"/>
      <c r="D31" s="169"/>
      <c r="E31" s="169"/>
      <c r="F31" s="74"/>
      <c r="G31" s="175" t="str">
        <f>IF(F31="","",VLOOKUP(F31,Données!$F$6:$J$25,2,FALSE))</f>
        <v/>
      </c>
      <c r="H31" s="175"/>
      <c r="I31" s="75" t="str">
        <f>IF(AND($G$5="CD.33",F31&gt;0),VLOOKUP(F31,Données!$F$6:$J$25,5,FALSE),"")</f>
        <v/>
      </c>
      <c r="J31" s="170"/>
      <c r="K31" s="170"/>
      <c r="L31" s="170"/>
      <c r="M31" s="170"/>
      <c r="N31" s="76"/>
      <c r="O31" s="77" t="str">
        <f t="shared" si="2"/>
        <v/>
      </c>
      <c r="P31" s="68" t="str">
        <f>IF(F31="","",VLOOKUP(F31,Données!$F$6:$J$25,3,FALSE))</f>
        <v/>
      </c>
      <c r="Q31" s="68" t="str">
        <f>IF(F31="","",VLOOKUP(F31,Données!$F$6:$J$25,4,FALSE))</f>
        <v/>
      </c>
    </row>
    <row r="32" spans="1:19" ht="15" customHeight="1" x14ac:dyDescent="0.25">
      <c r="A32" s="169"/>
      <c r="B32" s="169"/>
      <c r="C32" s="169"/>
      <c r="D32" s="169"/>
      <c r="E32" s="169"/>
      <c r="F32" s="74"/>
      <c r="G32" s="175" t="str">
        <f>IF(F32="","",VLOOKUP(F32,Données!$F$6:$J$25,2,FALSE))</f>
        <v/>
      </c>
      <c r="H32" s="175"/>
      <c r="I32" s="75" t="str">
        <f>IF(AND($G$5="CD.33",F32&gt;0),VLOOKUP(F32,Données!$F$6:$J$25,5,FALSE),"")</f>
        <v/>
      </c>
      <c r="J32" s="170"/>
      <c r="K32" s="170"/>
      <c r="L32" s="170"/>
      <c r="M32" s="170"/>
      <c r="N32" s="76"/>
      <c r="O32" s="77" t="str">
        <f t="shared" si="2"/>
        <v/>
      </c>
      <c r="P32" s="68" t="str">
        <f>IF(F32="","",VLOOKUP(F32,Données!$F$6:$J$25,3,FALSE))</f>
        <v/>
      </c>
      <c r="Q32" s="68" t="str">
        <f>IF(F32="","",VLOOKUP(F32,Données!$F$6:$J$25,4,FALSE))</f>
        <v/>
      </c>
    </row>
    <row r="33" spans="1:20" ht="15" customHeight="1" x14ac:dyDescent="0.25">
      <c r="A33" s="169"/>
      <c r="B33" s="169"/>
      <c r="C33" s="169"/>
      <c r="D33" s="169"/>
      <c r="E33" s="169"/>
      <c r="F33" s="74"/>
      <c r="G33" s="175" t="str">
        <f>IF(F33="","",VLOOKUP(F33,Données!$F$6:$J$25,2,FALSE))</f>
        <v/>
      </c>
      <c r="H33" s="175"/>
      <c r="I33" s="75" t="str">
        <f>IF(AND($G$5="CD.33",F33&gt;0),VLOOKUP(F33,Données!$F$6:$J$25,5,FALSE),"")</f>
        <v/>
      </c>
      <c r="J33" s="170"/>
      <c r="K33" s="170"/>
      <c r="L33" s="170"/>
      <c r="M33" s="170"/>
      <c r="N33" s="76"/>
      <c r="O33" s="77" t="str">
        <f t="shared" si="2"/>
        <v/>
      </c>
      <c r="P33" s="68" t="str">
        <f>IF(F33="","",VLOOKUP(F33,Données!$F$6:$J$25,3,FALSE))</f>
        <v/>
      </c>
      <c r="Q33" s="68" t="str">
        <f>IF(F33="","",VLOOKUP(F33,Données!$F$6:$J$25,4,FALSE))</f>
        <v/>
      </c>
    </row>
    <row r="34" spans="1:20" ht="15" customHeight="1" x14ac:dyDescent="0.25">
      <c r="A34" s="169"/>
      <c r="B34" s="169"/>
      <c r="C34" s="169"/>
      <c r="D34" s="169"/>
      <c r="E34" s="169"/>
      <c r="F34" s="74"/>
      <c r="G34" s="175" t="str">
        <f>IF(F34="","",VLOOKUP(F34,Données!$F$6:$J$25,2,FALSE))</f>
        <v/>
      </c>
      <c r="H34" s="175"/>
      <c r="I34" s="75" t="str">
        <f>IF(AND($G$5="CD.33",F34&gt;0),VLOOKUP(F34,Données!$F$6:$J$25,5,FALSE),"")</f>
        <v/>
      </c>
      <c r="J34" s="170"/>
      <c r="K34" s="170"/>
      <c r="L34" s="170"/>
      <c r="M34" s="170"/>
      <c r="N34" s="76"/>
      <c r="O34" s="77" t="str">
        <f t="shared" si="2"/>
        <v/>
      </c>
      <c r="P34" s="68" t="str">
        <f>IF(F34="","",VLOOKUP(F34,Données!$F$6:$J$25,3,FALSE))</f>
        <v/>
      </c>
      <c r="Q34" s="68" t="str">
        <f>IF(F34="","",VLOOKUP(F34,Données!$F$6:$J$25,4,FALSE))</f>
        <v/>
      </c>
    </row>
    <row r="35" spans="1:20" ht="15" customHeight="1" x14ac:dyDescent="0.25">
      <c r="A35" s="169"/>
      <c r="B35" s="169"/>
      <c r="C35" s="169"/>
      <c r="D35" s="169"/>
      <c r="E35" s="169"/>
      <c r="F35" s="74"/>
      <c r="G35" s="175" t="str">
        <f>IF(F35="","",VLOOKUP(F35,Données!$F$6:$J$25,2,FALSE))</f>
        <v/>
      </c>
      <c r="H35" s="175"/>
      <c r="I35" s="75" t="str">
        <f>IF(AND($G$5="CD.33",F35&gt;0),VLOOKUP(F35,Données!$F$6:$J$25,5,FALSE),"")</f>
        <v/>
      </c>
      <c r="J35" s="170"/>
      <c r="K35" s="170"/>
      <c r="L35" s="170"/>
      <c r="M35" s="170"/>
      <c r="N35" s="76"/>
      <c r="O35" s="77" t="str">
        <f t="shared" si="2"/>
        <v/>
      </c>
      <c r="P35" s="68" t="str">
        <f>IF(F35="","",VLOOKUP(F35,Données!$F$6:$J$25,3,FALSE))</f>
        <v/>
      </c>
      <c r="Q35" s="68" t="str">
        <f>IF(F35="","",VLOOKUP(F35,Données!$F$6:$J$25,4,FALSE))</f>
        <v/>
      </c>
    </row>
    <row r="36" spans="1:20" ht="15" customHeight="1" x14ac:dyDescent="0.25">
      <c r="A36" s="169"/>
      <c r="B36" s="169"/>
      <c r="C36" s="169"/>
      <c r="D36" s="169"/>
      <c r="E36" s="169"/>
      <c r="F36" s="74"/>
      <c r="G36" s="175" t="str">
        <f>IF(F36="","",VLOOKUP(F36,Données!$F$6:$J$25,2,FALSE))</f>
        <v/>
      </c>
      <c r="H36" s="175"/>
      <c r="I36" s="75" t="str">
        <f>IF(AND($G$5="CD.33",F36&gt;0),VLOOKUP(F36,Données!$F$6:$J$25,5,FALSE),"")</f>
        <v/>
      </c>
      <c r="J36" s="170"/>
      <c r="K36" s="170"/>
      <c r="L36" s="170"/>
      <c r="M36" s="170"/>
      <c r="N36" s="76"/>
      <c r="O36" s="77" t="str">
        <f t="shared" si="2"/>
        <v/>
      </c>
      <c r="P36" s="68" t="str">
        <f>IF(F36="","",VLOOKUP(F36,Données!$F$6:$J$25,3,FALSE))</f>
        <v/>
      </c>
      <c r="Q36" s="68" t="str">
        <f>IF(F36="","",VLOOKUP(F36,Données!$F$6:$J$25,4,FALSE))</f>
        <v/>
      </c>
    </row>
    <row r="37" spans="1:20" ht="15" customHeight="1" x14ac:dyDescent="0.25">
      <c r="A37" s="32"/>
      <c r="B37" s="19"/>
      <c r="C37" s="19"/>
      <c r="D37" s="28"/>
      <c r="E37" s="28"/>
      <c r="F37" s="29"/>
      <c r="G37" s="30"/>
      <c r="H37" s="30"/>
      <c r="I37" s="31"/>
      <c r="J37" s="31"/>
      <c r="K37" s="8"/>
      <c r="L37" s="31"/>
      <c r="N37" s="26"/>
    </row>
    <row r="38" spans="1:20" s="8" customFormat="1" ht="12.75" x14ac:dyDescent="0.25">
      <c r="A38" s="50"/>
      <c r="B38" s="53" t="s">
        <v>336</v>
      </c>
      <c r="C38" s="53"/>
      <c r="D38" s="152"/>
      <c r="E38" s="152"/>
      <c r="F38" s="153" t="s">
        <v>381</v>
      </c>
      <c r="H38" s="52"/>
      <c r="I38" s="51"/>
      <c r="J38" s="51"/>
      <c r="L38" s="51"/>
      <c r="M38" s="17"/>
      <c r="N38" s="17"/>
    </row>
    <row r="39" spans="1:20" x14ac:dyDescent="0.25">
      <c r="A39" s="163" t="s">
        <v>337</v>
      </c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1" t="s">
        <v>338</v>
      </c>
      <c r="O39" s="161"/>
      <c r="P39" s="17"/>
      <c r="Q39" s="26"/>
      <c r="S39" s="8"/>
      <c r="T39" s="8"/>
    </row>
    <row r="40" spans="1:20" x14ac:dyDescent="0.25">
      <c r="A40" s="162"/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77"/>
      <c r="O40" s="177"/>
      <c r="P40" s="17"/>
      <c r="Q40" s="26"/>
      <c r="S40" s="8"/>
      <c r="T40" s="8"/>
    </row>
    <row r="41" spans="1:20" x14ac:dyDescent="0.25">
      <c r="A41" s="162"/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77"/>
      <c r="O41" s="177"/>
      <c r="P41" s="17"/>
      <c r="Q41" s="26"/>
      <c r="S41" s="8"/>
      <c r="T41" s="8"/>
    </row>
    <row r="42" spans="1:20" ht="15" customHeight="1" x14ac:dyDescent="0.25"/>
    <row r="43" spans="1:20" ht="15" customHeight="1" x14ac:dyDescent="0.25">
      <c r="H43" s="178" t="s">
        <v>284</v>
      </c>
      <c r="I43" s="178"/>
      <c r="J43" s="178"/>
      <c r="K43" s="178"/>
      <c r="L43" s="178"/>
      <c r="M43" s="179"/>
      <c r="N43" s="180">
        <f>SUM(O10:O15,N22:O23,O27:O36,N18,N40:O41)</f>
        <v>0</v>
      </c>
      <c r="O43" s="180"/>
      <c r="P43" s="24" t="s">
        <v>4</v>
      </c>
      <c r="Q43" s="24" t="s">
        <v>5</v>
      </c>
    </row>
    <row r="44" spans="1:20" x14ac:dyDescent="0.25">
      <c r="H44" s="178"/>
      <c r="I44" s="178"/>
      <c r="J44" s="178"/>
      <c r="K44" s="178"/>
      <c r="L44" s="178"/>
      <c r="M44" s="179"/>
      <c r="N44" s="181"/>
      <c r="O44" s="181"/>
      <c r="P44" s="17">
        <f>SUM(P9:P41)</f>
        <v>0</v>
      </c>
      <c r="Q44" s="17">
        <f>SUM(Q9:Q41)</f>
        <v>0</v>
      </c>
    </row>
    <row r="45" spans="1:20" ht="5.0999999999999996" customHeight="1" x14ac:dyDescent="0.25">
      <c r="I45" s="33"/>
      <c r="J45" s="33"/>
      <c r="K45" s="34"/>
      <c r="L45" s="34"/>
    </row>
    <row r="46" spans="1:20" x14ac:dyDescent="0.25">
      <c r="A46" s="35" t="s">
        <v>294</v>
      </c>
      <c r="L46" s="16"/>
      <c r="M46" s="36" t="s">
        <v>306</v>
      </c>
      <c r="N46" s="176"/>
      <c r="O46" s="176"/>
    </row>
    <row r="47" spans="1:20" x14ac:dyDescent="0.25">
      <c r="A47" s="37"/>
      <c r="B47" s="38" t="s">
        <v>305</v>
      </c>
      <c r="C47" s="38"/>
      <c r="D47" s="39" t="s">
        <v>283</v>
      </c>
      <c r="E47" s="155"/>
      <c r="F47" s="155"/>
      <c r="L47" s="16"/>
    </row>
    <row r="48" spans="1:20" x14ac:dyDescent="0.25">
      <c r="A48" s="37"/>
      <c r="B48" s="38" t="s">
        <v>296</v>
      </c>
      <c r="C48" s="38"/>
      <c r="D48" s="32" t="s">
        <v>292</v>
      </c>
      <c r="E48" s="32"/>
      <c r="N48" s="40">
        <v>704020</v>
      </c>
      <c r="O48" s="41">
        <f>Q44</f>
        <v>0</v>
      </c>
    </row>
    <row r="49" spans="1:17" x14ac:dyDescent="0.25">
      <c r="A49" s="37"/>
      <c r="B49" s="38" t="s">
        <v>297</v>
      </c>
      <c r="C49" s="38"/>
      <c r="D49" s="32" t="s">
        <v>293</v>
      </c>
      <c r="E49" s="32"/>
      <c r="K49" s="40"/>
      <c r="L49" s="41"/>
      <c r="N49" s="40">
        <v>704025</v>
      </c>
      <c r="O49" s="41">
        <f>P44</f>
        <v>0</v>
      </c>
    </row>
    <row r="50" spans="1:17" x14ac:dyDescent="0.25">
      <c r="A50" s="37"/>
      <c r="B50" s="38" t="s">
        <v>295</v>
      </c>
      <c r="C50" s="38"/>
      <c r="K50" s="40"/>
      <c r="L50" s="41"/>
      <c r="N50" s="40">
        <v>791002</v>
      </c>
      <c r="O50" s="41">
        <f>SUM(I27:I36)</f>
        <v>0</v>
      </c>
    </row>
    <row r="51" spans="1:17" s="43" customFormat="1" ht="5.0999999999999996" customHeight="1" x14ac:dyDescent="0.25">
      <c r="A51" s="8"/>
      <c r="B51" s="42"/>
      <c r="C51" s="42"/>
      <c r="D51" s="16"/>
      <c r="E51" s="16"/>
      <c r="F51" s="16"/>
      <c r="G51" s="16"/>
      <c r="M51" s="44"/>
      <c r="N51" s="44"/>
      <c r="P51" s="64"/>
      <c r="Q51" s="64"/>
    </row>
    <row r="52" spans="1:17" ht="9.9499999999999993" customHeight="1" x14ac:dyDescent="0.25">
      <c r="A52" s="45"/>
      <c r="B52" s="46" t="s">
        <v>307</v>
      </c>
      <c r="C52" s="46"/>
      <c r="D52" s="47"/>
      <c r="E52" s="47"/>
      <c r="F52" s="47"/>
      <c r="G52" s="43"/>
    </row>
    <row r="53" spans="1:17" ht="9.9499999999999993" customHeight="1" x14ac:dyDescent="0.25">
      <c r="A53" s="16"/>
      <c r="B53" s="48" t="s">
        <v>304</v>
      </c>
      <c r="C53" s="48"/>
      <c r="L53" s="16"/>
    </row>
    <row r="54" spans="1:17" ht="5.45" customHeight="1" x14ac:dyDescent="0.25">
      <c r="A54" s="16"/>
    </row>
    <row r="55" spans="1:17" s="8" customFormat="1" ht="11.25" x14ac:dyDescent="0.25">
      <c r="A55" s="55" t="s">
        <v>287</v>
      </c>
      <c r="B55" s="55"/>
      <c r="C55" s="55"/>
      <c r="D55" s="55"/>
      <c r="E55" s="55"/>
      <c r="F55" s="49"/>
      <c r="G55" s="49"/>
      <c r="K55" s="51"/>
      <c r="L55" s="17"/>
      <c r="M55" s="17"/>
    </row>
    <row r="56" spans="1:17" s="58" customFormat="1" ht="8.25" x14ac:dyDescent="0.25">
      <c r="A56" s="56" t="s">
        <v>288</v>
      </c>
      <c r="B56" s="56"/>
      <c r="C56" s="56"/>
      <c r="D56" s="57"/>
      <c r="E56" s="57"/>
      <c r="F56" s="57"/>
      <c r="G56" s="57"/>
      <c r="K56" s="59"/>
      <c r="L56" s="60"/>
      <c r="M56" s="60"/>
    </row>
    <row r="57" spans="1:17" s="58" customFormat="1" ht="8.25" x14ac:dyDescent="0.25">
      <c r="A57" s="56" t="s">
        <v>289</v>
      </c>
      <c r="B57" s="56"/>
      <c r="C57" s="56"/>
      <c r="D57" s="57"/>
      <c r="E57" s="57"/>
      <c r="F57" s="57"/>
      <c r="G57" s="57"/>
      <c r="K57" s="59"/>
      <c r="L57" s="60"/>
      <c r="M57" s="60"/>
    </row>
    <row r="58" spans="1:17" s="58" customFormat="1" ht="8.25" x14ac:dyDescent="0.25">
      <c r="A58" s="56" t="s">
        <v>290</v>
      </c>
      <c r="B58" s="56"/>
      <c r="C58" s="56"/>
      <c r="D58" s="57"/>
      <c r="E58" s="57"/>
      <c r="F58" s="57"/>
      <c r="G58" s="57"/>
      <c r="K58" s="59"/>
      <c r="L58" s="60"/>
      <c r="M58" s="60"/>
    </row>
  </sheetData>
  <sheetProtection selectLockedCells="1"/>
  <mergeCells count="128">
    <mergeCell ref="C5:D6"/>
    <mergeCell ref="L28:M28"/>
    <mergeCell ref="L29:M29"/>
    <mergeCell ref="L30:M30"/>
    <mergeCell ref="L31:M31"/>
    <mergeCell ref="L32:M32"/>
    <mergeCell ref="L33:M33"/>
    <mergeCell ref="L34:M34"/>
    <mergeCell ref="L35:M35"/>
    <mergeCell ref="E11:F11"/>
    <mergeCell ref="E12:F12"/>
    <mergeCell ref="E13:F13"/>
    <mergeCell ref="H9:I9"/>
    <mergeCell ref="H10:I10"/>
    <mergeCell ref="A29:C29"/>
    <mergeCell ref="A30:C30"/>
    <mergeCell ref="A10:B10"/>
    <mergeCell ref="C10:D10"/>
    <mergeCell ref="A11:B11"/>
    <mergeCell ref="C11:D11"/>
    <mergeCell ref="A12:B12"/>
    <mergeCell ref="C12:D12"/>
    <mergeCell ref="E14:F14"/>
    <mergeCell ref="G27:H27"/>
    <mergeCell ref="J10:K10"/>
    <mergeCell ref="J11:K11"/>
    <mergeCell ref="J12:K12"/>
    <mergeCell ref="J13:K13"/>
    <mergeCell ref="J14:K14"/>
    <mergeCell ref="E9:F9"/>
    <mergeCell ref="L26:M26"/>
    <mergeCell ref="L9:M9"/>
    <mergeCell ref="L10:M10"/>
    <mergeCell ref="L11:M11"/>
    <mergeCell ref="L12:M12"/>
    <mergeCell ref="L13:M13"/>
    <mergeCell ref="L14:M14"/>
    <mergeCell ref="L15:M15"/>
    <mergeCell ref="J9:K9"/>
    <mergeCell ref="H11:I11"/>
    <mergeCell ref="H12:I12"/>
    <mergeCell ref="H13:I13"/>
    <mergeCell ref="H14:I14"/>
    <mergeCell ref="H15:I15"/>
    <mergeCell ref="E10:F10"/>
    <mergeCell ref="D29:E29"/>
    <mergeCell ref="E15:F15"/>
    <mergeCell ref="G28:H28"/>
    <mergeCell ref="G29:H29"/>
    <mergeCell ref="G30:H30"/>
    <mergeCell ref="D30:E30"/>
    <mergeCell ref="N43:O44"/>
    <mergeCell ref="N18:O18"/>
    <mergeCell ref="L27:M27"/>
    <mergeCell ref="L36:M36"/>
    <mergeCell ref="J35:K35"/>
    <mergeCell ref="J36:K36"/>
    <mergeCell ref="N46:O46"/>
    <mergeCell ref="N39:O39"/>
    <mergeCell ref="N40:O40"/>
    <mergeCell ref="N41:O41"/>
    <mergeCell ref="H43:M44"/>
    <mergeCell ref="A32:C32"/>
    <mergeCell ref="A33:C33"/>
    <mergeCell ref="A34:C34"/>
    <mergeCell ref="A35:C35"/>
    <mergeCell ref="A36:C36"/>
    <mergeCell ref="G33:H33"/>
    <mergeCell ref="G34:H34"/>
    <mergeCell ref="G35:H35"/>
    <mergeCell ref="G36:H36"/>
    <mergeCell ref="G32:H32"/>
    <mergeCell ref="D32:E32"/>
    <mergeCell ref="D33:E33"/>
    <mergeCell ref="D34:E34"/>
    <mergeCell ref="D35:E35"/>
    <mergeCell ref="D36:E36"/>
    <mergeCell ref="J32:K32"/>
    <mergeCell ref="J33:K33"/>
    <mergeCell ref="J34:K34"/>
    <mergeCell ref="A31:C31"/>
    <mergeCell ref="D26:E26"/>
    <mergeCell ref="J26:K26"/>
    <mergeCell ref="G26:H26"/>
    <mergeCell ref="J15:K15"/>
    <mergeCell ref="A13:B13"/>
    <mergeCell ref="C13:D13"/>
    <mergeCell ref="A14:B14"/>
    <mergeCell ref="C14:D14"/>
    <mergeCell ref="A15:B15"/>
    <mergeCell ref="C15:D15"/>
    <mergeCell ref="F23:G23"/>
    <mergeCell ref="A26:C26"/>
    <mergeCell ref="A27:C27"/>
    <mergeCell ref="A28:C28"/>
    <mergeCell ref="G31:H31"/>
    <mergeCell ref="D31:E31"/>
    <mergeCell ref="J27:K27"/>
    <mergeCell ref="J28:K28"/>
    <mergeCell ref="J29:K29"/>
    <mergeCell ref="J30:K30"/>
    <mergeCell ref="J31:K31"/>
    <mergeCell ref="D27:E27"/>
    <mergeCell ref="D28:E28"/>
    <mergeCell ref="J6:L6"/>
    <mergeCell ref="E47:F47"/>
    <mergeCell ref="G18:M18"/>
    <mergeCell ref="E1:G1"/>
    <mergeCell ref="H1:O1"/>
    <mergeCell ref="N23:O23"/>
    <mergeCell ref="N22:O22"/>
    <mergeCell ref="N21:O21"/>
    <mergeCell ref="A41:M41"/>
    <mergeCell ref="A40:M40"/>
    <mergeCell ref="A39:M39"/>
    <mergeCell ref="J5:O5"/>
    <mergeCell ref="G3:H3"/>
    <mergeCell ref="N3:O3"/>
    <mergeCell ref="A9:B9"/>
    <mergeCell ref="C9:D9"/>
    <mergeCell ref="F21:G21"/>
    <mergeCell ref="F22:G22"/>
    <mergeCell ref="H23:M23"/>
    <mergeCell ref="H22:M22"/>
    <mergeCell ref="H21:M21"/>
    <mergeCell ref="A23:E23"/>
    <mergeCell ref="A22:E22"/>
    <mergeCell ref="A21:E21"/>
  </mergeCells>
  <phoneticPr fontId="4" type="noConversion"/>
  <dataValidations count="6">
    <dataValidation type="list" allowBlank="1" showInputMessage="1" showErrorMessage="1" sqref="F27:F36" xr:uid="{4B641EC5-3EC0-405D-862F-559279D5D6C7}">
      <formula1>Licence</formula1>
    </dataValidation>
    <dataValidation type="list" allowBlank="1" showInputMessage="1" showErrorMessage="1" sqref="A22:A23" xr:uid="{4B91E1C7-2CA8-4013-BB96-6E59B683D217}">
      <formula1>Affiliation</formula1>
    </dataValidation>
    <dataValidation type="list" allowBlank="1" showInputMessage="1" showErrorMessage="1" sqref="G20:G23 G10:G17" xr:uid="{FDE50A61-6BFE-46B0-8B0B-055E134CFC3B}">
      <formula1>Discipline</formula1>
    </dataValidation>
    <dataValidation type="list" allowBlank="1" showInputMessage="1" showErrorMessage="1" sqref="G5" xr:uid="{5B75F26B-2B73-4E4C-A786-689A757C00A5}">
      <formula1>CD</formula1>
    </dataValidation>
    <dataValidation type="list" allowBlank="1" showInputMessage="1" showErrorMessage="1" sqref="J5:O5" xr:uid="{76EA8FDC-FECB-47A8-9FF9-9F8ED738123D}">
      <formula1>INDIRECT($G$5)</formula1>
    </dataValidation>
    <dataValidation type="list" allowBlank="1" showInputMessage="1" showErrorMessage="1" sqref="H10:I16" xr:uid="{8BB46FE2-5243-4FF1-BD18-8DAA6761B990}">
      <formula1>INDIRECT($G10)</formula1>
    </dataValidation>
  </dataValidations>
  <pageMargins left="0.23622047244094491" right="0.23622047244094491" top="0.35433070866141736" bottom="0.15748031496062992" header="0" footer="0"/>
  <pageSetup paperSize="9" scale="9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180975</xdr:rowOff>
                  </from>
                  <to>
                    <xdr:col>1</xdr:col>
                    <xdr:colOff>28575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46</xdr:row>
                    <xdr:rowOff>180975</xdr:rowOff>
                  </from>
                  <to>
                    <xdr:col>1</xdr:col>
                    <xdr:colOff>28575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48</xdr:row>
                    <xdr:rowOff>0</xdr:rowOff>
                  </from>
                  <to>
                    <xdr:col>1</xdr:col>
                    <xdr:colOff>28575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48</xdr:row>
                    <xdr:rowOff>180975</xdr:rowOff>
                  </from>
                  <to>
                    <xdr:col>1</xdr:col>
                    <xdr:colOff>28575</xdr:colOff>
                    <xdr:row>50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249A34C-FC41-435A-A590-391AF4EDAF36}">
          <x14:formula1>
            <xm:f>Données!$I$35:$I$36</xm:f>
          </x14:formula1>
          <xm:sqref>A20:A23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245AA-8A59-4338-A241-F44B458BF135}">
  <sheetPr codeName="Feuil2"/>
  <dimension ref="A1:U290"/>
  <sheetViews>
    <sheetView workbookViewId="0">
      <selection activeCell="J276" sqref="J276"/>
    </sheetView>
  </sheetViews>
  <sheetFormatPr baseColWidth="10" defaultColWidth="11.42578125" defaultRowHeight="11.25" x14ac:dyDescent="0.2"/>
  <cols>
    <col min="1" max="1" width="6.7109375" style="1" customWidth="1"/>
    <col min="2" max="2" width="20.7109375" style="1" customWidth="1"/>
    <col min="3" max="3" width="6.7109375" style="1" customWidth="1"/>
    <col min="4" max="5" width="4.7109375" style="1" customWidth="1"/>
    <col min="6" max="6" width="10.7109375" style="1" customWidth="1"/>
    <col min="7" max="9" width="5.7109375" style="5" customWidth="1"/>
    <col min="10" max="10" width="7.28515625" style="5" bestFit="1" customWidth="1"/>
    <col min="11" max="11" width="5.28515625" style="1" bestFit="1" customWidth="1"/>
    <col min="12" max="12" width="8.7109375" style="1" customWidth="1"/>
    <col min="13" max="13" width="5.7109375" style="1" customWidth="1"/>
    <col min="14" max="14" width="4.7109375" style="1" customWidth="1"/>
    <col min="15" max="15" width="10.7109375" style="1" customWidth="1"/>
    <col min="16" max="16" width="18" style="1" bestFit="1" customWidth="1"/>
    <col min="17" max="17" width="4.7109375" style="1" customWidth="1"/>
    <col min="18" max="18" width="6.7109375" style="1" customWidth="1"/>
    <col min="19" max="19" width="6.28515625" style="1" customWidth="1"/>
    <col min="20" max="20" width="5.28515625" style="1" customWidth="1"/>
    <col min="21" max="21" width="4.7109375" style="1" customWidth="1"/>
    <col min="22" max="22" width="15.7109375" style="1" customWidth="1"/>
    <col min="23" max="23" width="4.7109375" style="1" customWidth="1"/>
    <col min="24" max="24" width="6.7109375" style="1" customWidth="1"/>
    <col min="25" max="25" width="15.7109375" style="1" customWidth="1"/>
    <col min="26" max="26" width="4.7109375" style="1" customWidth="1"/>
    <col min="27" max="27" width="6.7109375" style="1" customWidth="1"/>
    <col min="28" max="28" width="15.7109375" style="1" customWidth="1"/>
    <col min="29" max="29" width="4.7109375" style="1" customWidth="1"/>
    <col min="30" max="30" width="6.7109375" style="1" customWidth="1"/>
    <col min="31" max="31" width="15.7109375" style="1" customWidth="1"/>
    <col min="32" max="32" width="4.7109375" style="1" customWidth="1"/>
    <col min="33" max="33" width="6.7109375" style="1" customWidth="1"/>
    <col min="34" max="34" width="11.42578125" style="1"/>
    <col min="35" max="35" width="4.7109375" style="1" customWidth="1"/>
    <col min="36" max="36" width="6.7109375" style="1" customWidth="1"/>
    <col min="37" max="37" width="15.7109375" style="1" customWidth="1"/>
    <col min="38" max="16384" width="11.42578125" style="1"/>
  </cols>
  <sheetData>
    <row r="1" spans="1:21" s="2" customFormat="1" x14ac:dyDescent="0.2">
      <c r="B1" s="2" t="s">
        <v>331</v>
      </c>
      <c r="F1" s="93" t="s">
        <v>0</v>
      </c>
      <c r="G1" s="94"/>
      <c r="H1" s="94"/>
      <c r="I1" s="94"/>
      <c r="J1" s="94"/>
      <c r="K1" s="95"/>
      <c r="L1" s="96"/>
      <c r="Q1" s="5"/>
      <c r="R1" s="5"/>
      <c r="S1" s="5"/>
      <c r="T1" s="5"/>
    </row>
    <row r="2" spans="1:21" x14ac:dyDescent="0.2">
      <c r="A2" s="2"/>
      <c r="B2" s="137" t="s">
        <v>352</v>
      </c>
      <c r="C2" s="137">
        <v>5016</v>
      </c>
      <c r="D2" s="136" t="s">
        <v>258</v>
      </c>
      <c r="F2" s="97" t="s">
        <v>7</v>
      </c>
      <c r="G2" s="6" t="s">
        <v>3</v>
      </c>
      <c r="H2" s="6" t="s">
        <v>4</v>
      </c>
      <c r="I2" s="6" t="s">
        <v>5</v>
      </c>
      <c r="J2" s="6" t="s">
        <v>6</v>
      </c>
      <c r="K2" s="109" t="s">
        <v>439</v>
      </c>
      <c r="L2" s="98"/>
      <c r="P2" s="4"/>
      <c r="Q2" s="6"/>
      <c r="R2" s="6"/>
      <c r="S2" s="6"/>
      <c r="T2" s="6"/>
      <c r="U2" s="2"/>
    </row>
    <row r="3" spans="1:21" x14ac:dyDescent="0.2">
      <c r="B3" s="3" t="s">
        <v>179</v>
      </c>
      <c r="C3" s="3" t="s">
        <v>270</v>
      </c>
      <c r="D3" s="3" t="s">
        <v>258</v>
      </c>
      <c r="F3" s="97"/>
      <c r="G3" s="6"/>
      <c r="H3" s="6"/>
      <c r="I3" s="6"/>
      <c r="J3" s="6"/>
      <c r="K3" s="105"/>
      <c r="L3" s="98"/>
      <c r="P3" s="4"/>
      <c r="Q3" s="6"/>
      <c r="R3" s="6"/>
      <c r="S3" s="6"/>
      <c r="T3" s="6"/>
    </row>
    <row r="4" spans="1:21" x14ac:dyDescent="0.2">
      <c r="B4" s="1" t="s">
        <v>11</v>
      </c>
      <c r="C4" s="1" t="str">
        <f>"5016204"</f>
        <v>5016204</v>
      </c>
      <c r="D4" s="3" t="s">
        <v>258</v>
      </c>
      <c r="F4" s="112" t="s">
        <v>435</v>
      </c>
      <c r="G4" s="110">
        <v>502</v>
      </c>
      <c r="H4" s="89">
        <v>12</v>
      </c>
      <c r="I4" s="89">
        <v>389.5</v>
      </c>
      <c r="J4" s="89"/>
      <c r="K4" s="111">
        <v>100.5</v>
      </c>
      <c r="L4" s="113"/>
    </row>
    <row r="5" spans="1:21" x14ac:dyDescent="0.2">
      <c r="B5" s="1" t="s">
        <v>21</v>
      </c>
      <c r="C5" s="1" t="str">
        <f>"5016011"</f>
        <v>5016011</v>
      </c>
      <c r="D5" s="3" t="s">
        <v>258</v>
      </c>
      <c r="F5" s="114" t="s">
        <v>436</v>
      </c>
      <c r="G5" s="90">
        <v>302</v>
      </c>
      <c r="H5" s="91">
        <v>12</v>
      </c>
      <c r="I5" s="91">
        <v>229.5</v>
      </c>
      <c r="J5" s="91"/>
      <c r="K5" s="107">
        <v>60.5</v>
      </c>
      <c r="L5" s="115"/>
    </row>
    <row r="6" spans="1:21" x14ac:dyDescent="0.2">
      <c r="B6" s="1" t="s">
        <v>28</v>
      </c>
      <c r="C6" s="1" t="str">
        <f>"5016014"</f>
        <v>5016014</v>
      </c>
      <c r="D6" s="3" t="s">
        <v>258</v>
      </c>
      <c r="F6" s="99" t="s">
        <v>387</v>
      </c>
      <c r="G6" s="6">
        <v>214</v>
      </c>
      <c r="H6" s="5">
        <v>12</v>
      </c>
      <c r="I6" s="5">
        <v>161.5</v>
      </c>
      <c r="J6" s="5">
        <v>2</v>
      </c>
      <c r="K6" s="106">
        <v>40.5</v>
      </c>
      <c r="L6" s="108"/>
    </row>
    <row r="7" spans="1:21" x14ac:dyDescent="0.2">
      <c r="B7" s="1" t="s">
        <v>38</v>
      </c>
      <c r="C7" s="1" t="str">
        <f>"5016229"</f>
        <v>5016229</v>
      </c>
      <c r="D7" s="3" t="s">
        <v>258</v>
      </c>
      <c r="F7" s="99" t="s">
        <v>388</v>
      </c>
      <c r="G7" s="6">
        <v>139</v>
      </c>
      <c r="H7" s="5">
        <v>12</v>
      </c>
      <c r="I7" s="5">
        <v>90.5</v>
      </c>
      <c r="J7" s="5">
        <v>2</v>
      </c>
      <c r="K7" s="106">
        <v>36.5</v>
      </c>
      <c r="L7" s="98"/>
    </row>
    <row r="8" spans="1:21" x14ac:dyDescent="0.2">
      <c r="B8" s="1" t="s">
        <v>47</v>
      </c>
      <c r="C8" s="1" t="str">
        <f>"5016164"</f>
        <v>5016164</v>
      </c>
      <c r="D8" s="3" t="s">
        <v>258</v>
      </c>
      <c r="F8" s="99" t="s">
        <v>389</v>
      </c>
      <c r="G8" s="6">
        <v>79</v>
      </c>
      <c r="H8" s="5">
        <v>12</v>
      </c>
      <c r="I8" s="5">
        <v>38.5</v>
      </c>
      <c r="J8" s="5">
        <v>2</v>
      </c>
      <c r="K8" s="106">
        <v>28.5</v>
      </c>
      <c r="L8" s="98"/>
    </row>
    <row r="9" spans="1:21" ht="12" thickBot="1" x14ac:dyDescent="0.25">
      <c r="B9" s="1" t="s">
        <v>57</v>
      </c>
      <c r="C9" s="1" t="str">
        <f>"5016186"</f>
        <v>5016186</v>
      </c>
      <c r="D9" s="3" t="s">
        <v>258</v>
      </c>
      <c r="F9" s="99" t="s">
        <v>390</v>
      </c>
      <c r="G9" s="6">
        <v>61</v>
      </c>
      <c r="H9" s="5">
        <v>12</v>
      </c>
      <c r="I9" s="5">
        <v>31.5</v>
      </c>
      <c r="J9" s="5">
        <v>2</v>
      </c>
      <c r="K9" s="106">
        <v>17.5</v>
      </c>
      <c r="L9" s="98"/>
    </row>
    <row r="10" spans="1:21" ht="12" thickBot="1" x14ac:dyDescent="0.25">
      <c r="B10" s="1" t="s">
        <v>68</v>
      </c>
      <c r="C10" s="1" t="str">
        <f>"5016240"</f>
        <v>5016240</v>
      </c>
      <c r="D10" s="3" t="s">
        <v>258</v>
      </c>
      <c r="F10" s="99" t="s">
        <v>391</v>
      </c>
      <c r="G10" s="6">
        <v>61</v>
      </c>
      <c r="H10" s="5">
        <v>12</v>
      </c>
      <c r="I10" s="5">
        <v>31.5</v>
      </c>
      <c r="J10" s="5">
        <v>2</v>
      </c>
      <c r="K10" s="106">
        <v>17.5</v>
      </c>
      <c r="L10" s="98"/>
      <c r="O10" s="92"/>
    </row>
    <row r="11" spans="1:21" x14ac:dyDescent="0.2">
      <c r="B11" s="1" t="s">
        <v>79</v>
      </c>
      <c r="C11" s="1" t="str">
        <f>"5016010"</f>
        <v>5016010</v>
      </c>
      <c r="D11" s="3" t="s">
        <v>258</v>
      </c>
      <c r="F11" s="99" t="s">
        <v>176</v>
      </c>
      <c r="G11" s="6">
        <v>24</v>
      </c>
      <c r="H11" s="5">
        <v>3</v>
      </c>
      <c r="I11" s="5">
        <v>14.5</v>
      </c>
      <c r="J11" s="5">
        <v>2</v>
      </c>
      <c r="K11" s="106">
        <v>6.5</v>
      </c>
      <c r="L11" s="98"/>
    </row>
    <row r="12" spans="1:21" x14ac:dyDescent="0.2">
      <c r="B12" s="1" t="s">
        <v>99</v>
      </c>
      <c r="C12" s="1" t="str">
        <f>"5016230"</f>
        <v>5016230</v>
      </c>
      <c r="D12" s="3" t="s">
        <v>258</v>
      </c>
      <c r="F12" s="99" t="s">
        <v>392</v>
      </c>
      <c r="G12" s="6">
        <v>61</v>
      </c>
      <c r="H12" s="5">
        <v>12</v>
      </c>
      <c r="I12" s="5">
        <v>32</v>
      </c>
      <c r="J12" s="5">
        <v>2</v>
      </c>
      <c r="K12" s="106">
        <v>17</v>
      </c>
      <c r="L12" s="98"/>
    </row>
    <row r="13" spans="1:21" x14ac:dyDescent="0.2">
      <c r="B13" s="1" t="s">
        <v>109</v>
      </c>
      <c r="C13" s="1" t="str">
        <f>"5016183"</f>
        <v>5016183</v>
      </c>
      <c r="D13" s="3" t="s">
        <v>258</v>
      </c>
      <c r="F13" s="99" t="s">
        <v>166</v>
      </c>
      <c r="G13" s="6">
        <v>34</v>
      </c>
      <c r="H13" s="5">
        <v>12</v>
      </c>
      <c r="I13" s="5">
        <v>6.5</v>
      </c>
      <c r="J13" s="5">
        <v>2</v>
      </c>
      <c r="K13" s="106">
        <v>15.5</v>
      </c>
      <c r="L13" s="98"/>
    </row>
    <row r="14" spans="1:21" x14ac:dyDescent="0.2">
      <c r="B14" s="1" t="s">
        <v>119</v>
      </c>
      <c r="C14" s="1" t="str">
        <f>"5016185"</f>
        <v>5016185</v>
      </c>
      <c r="D14" s="3" t="s">
        <v>258</v>
      </c>
      <c r="F14" s="99" t="s">
        <v>275</v>
      </c>
      <c r="G14" s="6">
        <v>61</v>
      </c>
      <c r="H14" s="5">
        <v>12</v>
      </c>
      <c r="I14" s="5">
        <v>34.5</v>
      </c>
      <c r="J14" s="5">
        <v>2</v>
      </c>
      <c r="K14" s="106">
        <v>14.5</v>
      </c>
      <c r="L14" s="98"/>
    </row>
    <row r="15" spans="1:21" x14ac:dyDescent="0.2">
      <c r="B15" s="142" t="s">
        <v>128</v>
      </c>
      <c r="C15" s="1" t="str">
        <f>"5016012"</f>
        <v>5016012</v>
      </c>
      <c r="D15" s="3" t="s">
        <v>258</v>
      </c>
      <c r="F15" s="99" t="s">
        <v>393</v>
      </c>
      <c r="G15" s="6">
        <v>61</v>
      </c>
      <c r="H15" s="5">
        <v>12</v>
      </c>
      <c r="I15" s="5">
        <v>34.5</v>
      </c>
      <c r="J15" s="5">
        <v>2</v>
      </c>
      <c r="K15" s="106">
        <v>14.5</v>
      </c>
      <c r="L15" s="98"/>
    </row>
    <row r="16" spans="1:21" x14ac:dyDescent="0.2">
      <c r="B16" s="142" t="s">
        <v>137</v>
      </c>
      <c r="C16" s="1" t="str">
        <f>"5016173"</f>
        <v>5016173</v>
      </c>
      <c r="D16" s="3" t="s">
        <v>258</v>
      </c>
      <c r="F16" s="99" t="s">
        <v>78</v>
      </c>
      <c r="G16" s="6">
        <v>61</v>
      </c>
      <c r="H16" s="5">
        <v>12</v>
      </c>
      <c r="I16" s="5">
        <v>34.5</v>
      </c>
      <c r="J16" s="5">
        <v>2</v>
      </c>
      <c r="K16" s="106">
        <v>14.5</v>
      </c>
      <c r="L16" s="98"/>
    </row>
    <row r="17" spans="2:12" x14ac:dyDescent="0.2">
      <c r="B17" s="142" t="s">
        <v>385</v>
      </c>
      <c r="C17" s="1" t="str">
        <f>"5016242"</f>
        <v>5016242</v>
      </c>
      <c r="D17" s="3" t="s">
        <v>258</v>
      </c>
      <c r="F17" s="99" t="s">
        <v>90</v>
      </c>
      <c r="G17" s="6">
        <v>79</v>
      </c>
      <c r="H17" s="5">
        <v>12</v>
      </c>
      <c r="I17" s="5">
        <v>52.5</v>
      </c>
      <c r="J17" s="5">
        <v>2</v>
      </c>
      <c r="K17" s="106">
        <v>14.5</v>
      </c>
      <c r="L17" s="98"/>
    </row>
    <row r="18" spans="2:12" x14ac:dyDescent="0.2">
      <c r="B18" s="142" t="s">
        <v>460</v>
      </c>
      <c r="C18" s="1" t="str">
        <f>"5016245"</f>
        <v>5016245</v>
      </c>
      <c r="D18" s="3" t="s">
        <v>258</v>
      </c>
      <c r="F18" s="99" t="s">
        <v>98</v>
      </c>
      <c r="G18" s="6">
        <v>164</v>
      </c>
      <c r="H18" s="5">
        <v>12</v>
      </c>
      <c r="I18" s="5">
        <v>137.5</v>
      </c>
      <c r="J18" s="5">
        <v>2</v>
      </c>
      <c r="K18" s="106">
        <v>14.5</v>
      </c>
      <c r="L18" s="98"/>
    </row>
    <row r="19" spans="2:12" x14ac:dyDescent="0.2">
      <c r="B19" s="142" t="s">
        <v>442</v>
      </c>
      <c r="C19" s="1" t="str">
        <f>"5016244"</f>
        <v>5016244</v>
      </c>
      <c r="D19" s="1" t="s">
        <v>258</v>
      </c>
      <c r="F19" s="112" t="s">
        <v>437</v>
      </c>
      <c r="G19" s="89">
        <v>302</v>
      </c>
      <c r="H19" s="89">
        <v>12</v>
      </c>
      <c r="I19" s="89">
        <v>229.5</v>
      </c>
      <c r="J19" s="89"/>
      <c r="K19" s="111">
        <v>60.5</v>
      </c>
      <c r="L19" s="113"/>
    </row>
    <row r="20" spans="2:12" x14ac:dyDescent="0.2">
      <c r="B20" s="142" t="s">
        <v>153</v>
      </c>
      <c r="C20" s="1" t="str">
        <f>"5016015"</f>
        <v>5016015</v>
      </c>
      <c r="D20" s="3" t="s">
        <v>258</v>
      </c>
      <c r="F20" s="114" t="s">
        <v>438</v>
      </c>
      <c r="G20" s="91">
        <v>102</v>
      </c>
      <c r="H20" s="91">
        <v>12</v>
      </c>
      <c r="I20" s="91">
        <v>59.5</v>
      </c>
      <c r="J20" s="91"/>
      <c r="K20" s="107">
        <v>30.5</v>
      </c>
      <c r="L20" s="115"/>
    </row>
    <row r="21" spans="2:12" x14ac:dyDescent="0.2">
      <c r="B21" s="142" t="s">
        <v>160</v>
      </c>
      <c r="C21" s="1" t="str">
        <f>"5016009"</f>
        <v>5016009</v>
      </c>
      <c r="D21" s="3" t="s">
        <v>258</v>
      </c>
      <c r="F21" s="99" t="s">
        <v>67</v>
      </c>
      <c r="G21" s="6">
        <v>61</v>
      </c>
      <c r="H21" s="5">
        <v>12</v>
      </c>
      <c r="I21" s="5">
        <v>34.5</v>
      </c>
      <c r="J21" s="5">
        <v>2</v>
      </c>
      <c r="K21" s="106">
        <v>14.5</v>
      </c>
      <c r="L21" s="98"/>
    </row>
    <row r="22" spans="2:12" x14ac:dyDescent="0.2">
      <c r="B22" s="1" t="s">
        <v>167</v>
      </c>
      <c r="C22" s="1" t="str">
        <f>"5016008"</f>
        <v>5016008</v>
      </c>
      <c r="D22" s="3" t="s">
        <v>258</v>
      </c>
      <c r="F22" s="99" t="s">
        <v>152</v>
      </c>
      <c r="G22" s="6">
        <v>394</v>
      </c>
      <c r="H22" s="5">
        <v>12</v>
      </c>
      <c r="I22" s="5">
        <v>367.5</v>
      </c>
      <c r="J22" s="5">
        <v>2</v>
      </c>
      <c r="K22" s="106">
        <v>14.5</v>
      </c>
      <c r="L22" s="98"/>
    </row>
    <row r="23" spans="2:12" x14ac:dyDescent="0.2">
      <c r="B23" s="1" t="s">
        <v>170</v>
      </c>
      <c r="C23" s="1" t="str">
        <f>"5016002"</f>
        <v>5016002</v>
      </c>
      <c r="D23" s="3" t="s">
        <v>258</v>
      </c>
      <c r="F23" s="99" t="s">
        <v>159</v>
      </c>
      <c r="G23" s="6">
        <v>199</v>
      </c>
      <c r="H23" s="5">
        <v>12</v>
      </c>
      <c r="I23" s="5">
        <v>172.5</v>
      </c>
      <c r="J23" s="5">
        <v>2</v>
      </c>
      <c r="K23" s="106">
        <v>14.5</v>
      </c>
      <c r="L23" s="98"/>
    </row>
    <row r="24" spans="2:12" x14ac:dyDescent="0.2">
      <c r="B24" s="135" t="s">
        <v>353</v>
      </c>
      <c r="C24" s="135">
        <v>5017</v>
      </c>
      <c r="D24" s="136" t="s">
        <v>259</v>
      </c>
      <c r="F24" s="116" t="s">
        <v>394</v>
      </c>
      <c r="G24" s="110">
        <v>20</v>
      </c>
      <c r="H24" s="89">
        <v>4</v>
      </c>
      <c r="I24" s="89">
        <f t="shared" ref="I24:I26" si="0">G24-H24-K24</f>
        <v>10</v>
      </c>
      <c r="J24" s="89">
        <v>0</v>
      </c>
      <c r="K24" s="111">
        <v>6</v>
      </c>
      <c r="L24" s="113"/>
    </row>
    <row r="25" spans="2:12" x14ac:dyDescent="0.2">
      <c r="B25" s="1" t="s">
        <v>375</v>
      </c>
      <c r="C25" s="1" t="s">
        <v>376</v>
      </c>
      <c r="D25" s="3" t="s">
        <v>259</v>
      </c>
      <c r="F25" s="99" t="s">
        <v>395</v>
      </c>
      <c r="G25" s="6">
        <v>25</v>
      </c>
      <c r="H25" s="5">
        <v>4</v>
      </c>
      <c r="I25" s="5">
        <f t="shared" si="0"/>
        <v>12</v>
      </c>
      <c r="J25" s="5">
        <v>0</v>
      </c>
      <c r="K25" s="106">
        <v>9</v>
      </c>
      <c r="L25" s="98"/>
    </row>
    <row r="26" spans="2:12" ht="12" thickBot="1" x14ac:dyDescent="0.25">
      <c r="B26" s="1" t="s">
        <v>12</v>
      </c>
      <c r="C26" s="1" t="str">
        <f>"5017097"</f>
        <v>5017097</v>
      </c>
      <c r="D26" s="3" t="s">
        <v>259</v>
      </c>
      <c r="F26" s="100" t="s">
        <v>440</v>
      </c>
      <c r="G26" s="101">
        <v>15</v>
      </c>
      <c r="H26" s="102">
        <v>4</v>
      </c>
      <c r="I26" s="102">
        <f t="shared" si="0"/>
        <v>2</v>
      </c>
      <c r="J26" s="102">
        <v>0</v>
      </c>
      <c r="K26" s="117">
        <v>9</v>
      </c>
      <c r="L26" s="103"/>
    </row>
    <row r="27" spans="2:12" ht="12" thickBot="1" x14ac:dyDescent="0.25">
      <c r="B27" s="1" t="s">
        <v>22</v>
      </c>
      <c r="C27" s="1" t="str">
        <f>"5017140"</f>
        <v>5017140</v>
      </c>
      <c r="D27" s="3" t="s">
        <v>259</v>
      </c>
      <c r="G27" s="1"/>
      <c r="H27" s="1"/>
      <c r="I27" s="1"/>
      <c r="J27" s="1"/>
    </row>
    <row r="28" spans="2:12" x14ac:dyDescent="0.2">
      <c r="B28" s="1" t="s">
        <v>39</v>
      </c>
      <c r="C28" s="1" t="str">
        <f>"5017148"</f>
        <v>5017148</v>
      </c>
      <c r="D28" s="3" t="s">
        <v>259</v>
      </c>
      <c r="F28" s="93" t="s">
        <v>301</v>
      </c>
      <c r="G28" s="95"/>
      <c r="H28" s="118"/>
      <c r="I28" s="118"/>
      <c r="J28" s="104"/>
    </row>
    <row r="29" spans="2:12" x14ac:dyDescent="0.2">
      <c r="B29" s="1" t="s">
        <v>222</v>
      </c>
      <c r="C29" s="1" t="str">
        <f>"5017241"</f>
        <v>5017241</v>
      </c>
      <c r="D29" s="3" t="s">
        <v>259</v>
      </c>
      <c r="F29" s="99" t="s">
        <v>298</v>
      </c>
      <c r="G29" s="6">
        <v>145</v>
      </c>
      <c r="H29" s="5">
        <v>70</v>
      </c>
      <c r="I29" s="5">
        <f>G29-H29</f>
        <v>75</v>
      </c>
      <c r="J29" s="119"/>
    </row>
    <row r="30" spans="2:12" x14ac:dyDescent="0.2">
      <c r="B30" s="1" t="s">
        <v>48</v>
      </c>
      <c r="C30" s="1" t="str">
        <f>"5017217"</f>
        <v>5017217</v>
      </c>
      <c r="D30" s="3" t="s">
        <v>259</v>
      </c>
      <c r="F30" s="99" t="s">
        <v>299</v>
      </c>
      <c r="G30" s="120">
        <v>245</v>
      </c>
      <c r="H30" s="121">
        <v>95</v>
      </c>
      <c r="I30" s="121">
        <f>G30-H30</f>
        <v>150</v>
      </c>
      <c r="J30" s="119"/>
    </row>
    <row r="31" spans="2:12" ht="12" thickBot="1" x14ac:dyDescent="0.25">
      <c r="B31" s="1" t="s">
        <v>58</v>
      </c>
      <c r="C31" s="1" t="str">
        <f>"5017190"</f>
        <v>5017190</v>
      </c>
      <c r="D31" s="3" t="s">
        <v>259</v>
      </c>
      <c r="F31" s="100" t="s">
        <v>300</v>
      </c>
      <c r="G31" s="101">
        <v>50</v>
      </c>
      <c r="H31" s="102">
        <v>25</v>
      </c>
      <c r="I31" s="102">
        <f t="shared" ref="I31" si="1">G31-H31</f>
        <v>25</v>
      </c>
      <c r="J31" s="122" t="s">
        <v>302</v>
      </c>
    </row>
    <row r="32" spans="2:12" x14ac:dyDescent="0.2">
      <c r="B32" s="1" t="s">
        <v>69</v>
      </c>
      <c r="C32" s="1" t="str">
        <f>"5017205"</f>
        <v>5017205</v>
      </c>
      <c r="D32" s="3" t="s">
        <v>259</v>
      </c>
    </row>
    <row r="33" spans="2:9" x14ac:dyDescent="0.2">
      <c r="B33" s="1" t="s">
        <v>80</v>
      </c>
      <c r="C33" s="1" t="str">
        <f>"5017126"</f>
        <v>5017126</v>
      </c>
      <c r="D33" s="3" t="s">
        <v>259</v>
      </c>
    </row>
    <row r="34" spans="2:9" x14ac:dyDescent="0.2">
      <c r="B34" s="1" t="s">
        <v>91</v>
      </c>
      <c r="C34" s="1" t="str">
        <f>"5017179"</f>
        <v>5017179</v>
      </c>
      <c r="D34" s="3" t="s">
        <v>259</v>
      </c>
      <c r="F34" s="123" t="s">
        <v>2</v>
      </c>
      <c r="G34" s="2"/>
      <c r="I34" s="7" t="s">
        <v>332</v>
      </c>
    </row>
    <row r="35" spans="2:9" x14ac:dyDescent="0.2">
      <c r="B35" s="1" t="s">
        <v>100</v>
      </c>
      <c r="C35" s="1" t="str">
        <f>"5017237"</f>
        <v>5017237</v>
      </c>
      <c r="D35" s="3" t="s">
        <v>259</v>
      </c>
      <c r="F35" s="86" t="s">
        <v>9</v>
      </c>
      <c r="G35" s="1"/>
      <c r="I35" s="11" t="s">
        <v>333</v>
      </c>
    </row>
    <row r="36" spans="2:9" x14ac:dyDescent="0.2">
      <c r="B36" s="131" t="s">
        <v>459</v>
      </c>
      <c r="C36" s="1" t="str">
        <f>"5017247"</f>
        <v>5017247</v>
      </c>
      <c r="D36" s="1" t="s">
        <v>259</v>
      </c>
      <c r="F36" s="86" t="s">
        <v>19</v>
      </c>
      <c r="G36" s="1"/>
      <c r="I36" s="12" t="s">
        <v>334</v>
      </c>
    </row>
    <row r="37" spans="2:9" x14ac:dyDescent="0.2">
      <c r="B37" s="1" t="s">
        <v>110</v>
      </c>
      <c r="C37" s="1" t="str">
        <f>"5017079"</f>
        <v>5017079</v>
      </c>
      <c r="D37" s="3" t="s">
        <v>259</v>
      </c>
      <c r="F37" s="86" t="s">
        <v>26</v>
      </c>
      <c r="G37" s="1"/>
    </row>
    <row r="38" spans="2:9" x14ac:dyDescent="0.2">
      <c r="B38" s="1" t="s">
        <v>120</v>
      </c>
      <c r="C38" s="1" t="str">
        <f>"5017224"</f>
        <v>5017224</v>
      </c>
      <c r="D38" s="3" t="s">
        <v>259</v>
      </c>
      <c r="G38" s="1"/>
    </row>
    <row r="39" spans="2:9" x14ac:dyDescent="0.2">
      <c r="B39" s="1" t="s">
        <v>129</v>
      </c>
      <c r="C39" s="1" t="str">
        <f>"5017146"</f>
        <v>5017146</v>
      </c>
      <c r="D39" s="3" t="s">
        <v>259</v>
      </c>
      <c r="G39" s="1"/>
    </row>
    <row r="40" spans="2:9" x14ac:dyDescent="0.2">
      <c r="B40" s="1" t="s">
        <v>138</v>
      </c>
      <c r="C40" s="1" t="str">
        <f>"5017004"</f>
        <v>5017004</v>
      </c>
      <c r="D40" s="3" t="s">
        <v>259</v>
      </c>
      <c r="G40" s="1"/>
    </row>
    <row r="41" spans="2:9" x14ac:dyDescent="0.2">
      <c r="B41" s="1" t="s">
        <v>145</v>
      </c>
      <c r="C41" s="1" t="str">
        <f>"5017118"</f>
        <v>5017118</v>
      </c>
      <c r="D41" s="3" t="s">
        <v>259</v>
      </c>
      <c r="G41" s="1"/>
    </row>
    <row r="42" spans="2:9" x14ac:dyDescent="0.2">
      <c r="B42" s="1" t="s">
        <v>223</v>
      </c>
      <c r="C42" s="1" t="str">
        <f>"5017035"</f>
        <v>5017035</v>
      </c>
      <c r="D42" s="3" t="s">
        <v>259</v>
      </c>
    </row>
    <row r="43" spans="2:9" x14ac:dyDescent="0.2">
      <c r="B43" s="1" t="s">
        <v>154</v>
      </c>
      <c r="C43" s="1" t="str">
        <f>"5017233"</f>
        <v>5017233</v>
      </c>
      <c r="D43" s="3" t="s">
        <v>259</v>
      </c>
    </row>
    <row r="44" spans="2:9" x14ac:dyDescent="0.2">
      <c r="B44" s="1" t="s">
        <v>224</v>
      </c>
      <c r="C44" s="1" t="str">
        <f>"5017236"</f>
        <v>5017236</v>
      </c>
      <c r="D44" s="3" t="s">
        <v>259</v>
      </c>
      <c r="F44" s="109" t="s">
        <v>1</v>
      </c>
    </row>
    <row r="45" spans="2:9" x14ac:dyDescent="0.2">
      <c r="B45" s="1" t="s">
        <v>171</v>
      </c>
      <c r="C45" s="1" t="str">
        <f>"5017042"</f>
        <v>5017042</v>
      </c>
      <c r="D45" s="3" t="s">
        <v>259</v>
      </c>
      <c r="F45" s="124" t="str">
        <f ca="1">F49&amp;F50&amp;F51&amp;F52&amp;F53</f>
        <v>412161</v>
      </c>
      <c r="G45" s="10"/>
    </row>
    <row r="46" spans="2:9" x14ac:dyDescent="0.2">
      <c r="B46" s="1" t="s">
        <v>225</v>
      </c>
      <c r="C46" s="1" t="str">
        <f>"5017240"</f>
        <v>5017240</v>
      </c>
      <c r="D46" s="3" t="s">
        <v>259</v>
      </c>
      <c r="F46" s="125"/>
    </row>
    <row r="47" spans="2:9" x14ac:dyDescent="0.2">
      <c r="B47" s="1" t="s">
        <v>183</v>
      </c>
      <c r="C47" s="1" t="str">
        <f>"5017215"</f>
        <v>5017215</v>
      </c>
      <c r="D47" s="3" t="s">
        <v>259</v>
      </c>
      <c r="F47" s="126">
        <f ca="1">TODAY()</f>
        <v>45642</v>
      </c>
    </row>
    <row r="48" spans="2:9" x14ac:dyDescent="0.2">
      <c r="B48" s="1" t="s">
        <v>226</v>
      </c>
      <c r="C48" s="1" t="str">
        <f>"5017238"</f>
        <v>5017238</v>
      </c>
      <c r="D48" s="3" t="s">
        <v>259</v>
      </c>
      <c r="F48" s="125">
        <f ca="1">YEAR(F47)</f>
        <v>2024</v>
      </c>
    </row>
    <row r="49" spans="2:15" x14ac:dyDescent="0.2">
      <c r="B49" s="1" t="s">
        <v>188</v>
      </c>
      <c r="C49" s="1" t="str">
        <f>"5017213"</f>
        <v>5017213</v>
      </c>
      <c r="D49" s="3" t="s">
        <v>259</v>
      </c>
      <c r="F49" s="125" t="str">
        <f ca="1">RIGHT(F48,1)</f>
        <v>4</v>
      </c>
    </row>
    <row r="50" spans="2:15" x14ac:dyDescent="0.2">
      <c r="B50" s="1" t="s">
        <v>192</v>
      </c>
      <c r="C50" s="1" t="str">
        <f>"5017053"</f>
        <v>5017053</v>
      </c>
      <c r="D50" s="3" t="s">
        <v>259</v>
      </c>
      <c r="F50" s="125">
        <f ca="1">MONTH(F47)</f>
        <v>12</v>
      </c>
    </row>
    <row r="51" spans="2:15" x14ac:dyDescent="0.2">
      <c r="B51" s="1" t="s">
        <v>433</v>
      </c>
      <c r="C51" s="1" t="str">
        <f>"5017246"</f>
        <v>5017246</v>
      </c>
      <c r="D51" s="3" t="s">
        <v>259</v>
      </c>
      <c r="F51" s="125">
        <f ca="1">DAY(F47)</f>
        <v>16</v>
      </c>
    </row>
    <row r="52" spans="2:15" x14ac:dyDescent="0.2">
      <c r="B52" s="1" t="s">
        <v>197</v>
      </c>
      <c r="C52" s="1" t="str">
        <f>"5017029"</f>
        <v>5017029</v>
      </c>
      <c r="D52" s="3" t="s">
        <v>259</v>
      </c>
      <c r="F52" s="127">
        <f ca="1">RANDBETWEEN(1,9)</f>
        <v>1</v>
      </c>
      <c r="K52" s="2"/>
      <c r="L52" s="2"/>
      <c r="N52" s="2"/>
    </row>
    <row r="53" spans="2:15" x14ac:dyDescent="0.2">
      <c r="B53" s="1" t="s">
        <v>198</v>
      </c>
      <c r="C53" s="1" t="str">
        <f>"5017030"</f>
        <v>5017030</v>
      </c>
      <c r="D53" s="3" t="s">
        <v>259</v>
      </c>
      <c r="F53" s="8" t="str">
        <f>RIGHT('Bordereau Epr.-Aff.-CicleWeb'!J6,3)</f>
        <v/>
      </c>
      <c r="O53" s="2"/>
    </row>
    <row r="54" spans="2:15" x14ac:dyDescent="0.2">
      <c r="B54" s="1" t="s">
        <v>204</v>
      </c>
      <c r="C54" s="1" t="str">
        <f>"5017232"</f>
        <v>5017232</v>
      </c>
      <c r="D54" s="3" t="s">
        <v>259</v>
      </c>
    </row>
    <row r="55" spans="2:15" x14ac:dyDescent="0.2">
      <c r="B55" s="1" t="s">
        <v>195</v>
      </c>
      <c r="C55" s="1" t="str">
        <f>"5017032"</f>
        <v>5017032</v>
      </c>
      <c r="D55" s="3" t="s">
        <v>259</v>
      </c>
    </row>
    <row r="56" spans="2:15" x14ac:dyDescent="0.2">
      <c r="B56" s="1" t="s">
        <v>200</v>
      </c>
      <c r="C56" s="1" t="str">
        <f>"5017045"</f>
        <v>5017045</v>
      </c>
      <c r="D56" s="3" t="s">
        <v>259</v>
      </c>
      <c r="I56" s="7"/>
    </row>
    <row r="57" spans="2:15" x14ac:dyDescent="0.2">
      <c r="B57" s="1" t="s">
        <v>202</v>
      </c>
      <c r="C57" s="1" t="str">
        <f>"5017050"</f>
        <v>5017050</v>
      </c>
      <c r="D57" s="3" t="s">
        <v>259</v>
      </c>
    </row>
    <row r="58" spans="2:15" x14ac:dyDescent="0.2">
      <c r="B58" s="1" t="s">
        <v>206</v>
      </c>
      <c r="C58" s="1" t="str">
        <f>"5017031"</f>
        <v>5017031</v>
      </c>
      <c r="D58" s="3" t="s">
        <v>259</v>
      </c>
    </row>
    <row r="59" spans="2:15" x14ac:dyDescent="0.2">
      <c r="B59" s="1" t="s">
        <v>208</v>
      </c>
      <c r="C59" s="1" t="str">
        <f>"5017038"</f>
        <v>5017038</v>
      </c>
      <c r="D59" s="3" t="s">
        <v>259</v>
      </c>
    </row>
    <row r="60" spans="2:15" x14ac:dyDescent="0.2">
      <c r="B60" s="135" t="s">
        <v>354</v>
      </c>
      <c r="C60" s="135">
        <v>5019</v>
      </c>
      <c r="D60" s="136" t="s">
        <v>260</v>
      </c>
    </row>
    <row r="61" spans="2:15" x14ac:dyDescent="0.2">
      <c r="B61" s="142" t="s">
        <v>367</v>
      </c>
      <c r="C61" s="1" t="s">
        <v>368</v>
      </c>
      <c r="D61" s="3" t="s">
        <v>260</v>
      </c>
    </row>
    <row r="62" spans="2:15" x14ac:dyDescent="0.2">
      <c r="B62" s="142" t="s">
        <v>386</v>
      </c>
      <c r="C62" s="1" t="str">
        <f>"5019005"</f>
        <v>5019005</v>
      </c>
      <c r="D62" s="3" t="s">
        <v>260</v>
      </c>
    </row>
    <row r="63" spans="2:15" x14ac:dyDescent="0.2">
      <c r="B63" s="142" t="s">
        <v>426</v>
      </c>
      <c r="C63" s="1" t="str">
        <f>"5019006"</f>
        <v>5019006</v>
      </c>
      <c r="D63" s="3" t="s">
        <v>260</v>
      </c>
    </row>
    <row r="64" spans="2:15" x14ac:dyDescent="0.2">
      <c r="B64" s="142" t="s">
        <v>462</v>
      </c>
      <c r="C64" s="1" t="str">
        <f>"5019018"</f>
        <v>5019018</v>
      </c>
      <c r="D64" s="3" t="s">
        <v>260</v>
      </c>
    </row>
    <row r="65" spans="2:8" x14ac:dyDescent="0.2">
      <c r="B65" s="142" t="s">
        <v>227</v>
      </c>
      <c r="C65" s="1" t="str">
        <f>"5019024"</f>
        <v>5019024</v>
      </c>
      <c r="D65" s="3" t="s">
        <v>260</v>
      </c>
    </row>
    <row r="66" spans="2:8" x14ac:dyDescent="0.2">
      <c r="B66" s="142" t="s">
        <v>29</v>
      </c>
      <c r="C66" s="1" t="str">
        <f>"5019023"</f>
        <v>5019023</v>
      </c>
      <c r="D66" s="3" t="s">
        <v>260</v>
      </c>
    </row>
    <row r="67" spans="2:8" x14ac:dyDescent="0.2">
      <c r="B67" s="147" t="s">
        <v>366</v>
      </c>
      <c r="C67" s="86">
        <v>5019027</v>
      </c>
      <c r="D67" s="87" t="s">
        <v>260</v>
      </c>
    </row>
    <row r="68" spans="2:8" x14ac:dyDescent="0.2">
      <c r="B68" s="142" t="s">
        <v>59</v>
      </c>
      <c r="C68" s="1" t="str">
        <f>"5019004"</f>
        <v>5019004</v>
      </c>
      <c r="D68" s="3" t="s">
        <v>260</v>
      </c>
      <c r="H68" s="1"/>
    </row>
    <row r="69" spans="2:8" x14ac:dyDescent="0.2">
      <c r="B69" s="142" t="s">
        <v>453</v>
      </c>
      <c r="C69" s="1" t="str">
        <f>"5019019"</f>
        <v>5019019</v>
      </c>
      <c r="D69" s="3" t="s">
        <v>260</v>
      </c>
    </row>
    <row r="70" spans="2:8" x14ac:dyDescent="0.2">
      <c r="B70" s="142" t="s">
        <v>81</v>
      </c>
      <c r="C70" s="1" t="str">
        <f>"5019011"</f>
        <v>5019011</v>
      </c>
      <c r="D70" s="3" t="s">
        <v>260</v>
      </c>
    </row>
    <row r="71" spans="2:8" x14ac:dyDescent="0.2">
      <c r="B71" s="1" t="s">
        <v>92</v>
      </c>
      <c r="C71" s="1" t="str">
        <f>"5019026"</f>
        <v>5019026</v>
      </c>
      <c r="D71" s="3" t="s">
        <v>260</v>
      </c>
    </row>
    <row r="72" spans="2:8" x14ac:dyDescent="0.2">
      <c r="B72" s="1" t="s">
        <v>111</v>
      </c>
      <c r="C72" s="1" t="str">
        <f>"5019002"</f>
        <v>5019002</v>
      </c>
      <c r="D72" s="3" t="s">
        <v>260</v>
      </c>
    </row>
    <row r="73" spans="2:8" x14ac:dyDescent="0.2">
      <c r="B73" s="135" t="s">
        <v>355</v>
      </c>
      <c r="C73" s="135">
        <v>5023</v>
      </c>
      <c r="D73" s="136" t="s">
        <v>261</v>
      </c>
    </row>
    <row r="74" spans="2:8" x14ac:dyDescent="0.2">
      <c r="B74" s="1" t="s">
        <v>228</v>
      </c>
      <c r="C74" s="1" t="str">
        <f>"5023020"</f>
        <v>5023020</v>
      </c>
      <c r="D74" s="3" t="s">
        <v>261</v>
      </c>
    </row>
    <row r="75" spans="2:8" x14ac:dyDescent="0.2">
      <c r="B75" s="1" t="s">
        <v>229</v>
      </c>
      <c r="C75" s="1" t="str">
        <f>"5023022"</f>
        <v>5023022</v>
      </c>
      <c r="D75" s="3" t="s">
        <v>261</v>
      </c>
    </row>
    <row r="76" spans="2:8" x14ac:dyDescent="0.2">
      <c r="B76" s="1" t="s">
        <v>230</v>
      </c>
      <c r="C76" s="1" t="str">
        <f>"5023002"</f>
        <v>5023002</v>
      </c>
      <c r="D76" s="3" t="s">
        <v>261</v>
      </c>
    </row>
    <row r="77" spans="2:8" x14ac:dyDescent="0.2">
      <c r="B77" s="1" t="s">
        <v>231</v>
      </c>
      <c r="C77" s="1" t="str">
        <f>"5023031"</f>
        <v>5023031</v>
      </c>
      <c r="D77" s="3" t="s">
        <v>261</v>
      </c>
    </row>
    <row r="78" spans="2:8" x14ac:dyDescent="0.2">
      <c r="B78" s="1" t="s">
        <v>49</v>
      </c>
      <c r="C78" s="1" t="str">
        <f>"5023029"</f>
        <v>5023029</v>
      </c>
      <c r="D78" s="3" t="s">
        <v>261</v>
      </c>
    </row>
    <row r="79" spans="2:8" x14ac:dyDescent="0.2">
      <c r="B79" s="1" t="s">
        <v>60</v>
      </c>
      <c r="C79" s="1" t="str">
        <f>"5023033"</f>
        <v>5023033</v>
      </c>
      <c r="D79" s="3" t="s">
        <v>261</v>
      </c>
    </row>
    <row r="80" spans="2:8" x14ac:dyDescent="0.2">
      <c r="B80" s="1" t="s">
        <v>232</v>
      </c>
      <c r="C80" s="1" t="str">
        <f>"5023023"</f>
        <v>5023023</v>
      </c>
      <c r="D80" s="3" t="s">
        <v>261</v>
      </c>
    </row>
    <row r="81" spans="1:12" x14ac:dyDescent="0.2">
      <c r="B81" s="1" t="s">
        <v>233</v>
      </c>
      <c r="C81" s="1" t="str">
        <f>"5023025"</f>
        <v>5023025</v>
      </c>
      <c r="D81" s="3" t="s">
        <v>261</v>
      </c>
    </row>
    <row r="82" spans="1:12" x14ac:dyDescent="0.2">
      <c r="B82" s="1" t="s">
        <v>234</v>
      </c>
      <c r="C82" s="1" t="str">
        <f>"5023001"</f>
        <v>5023001</v>
      </c>
      <c r="D82" s="3" t="s">
        <v>261</v>
      </c>
    </row>
    <row r="83" spans="1:12" x14ac:dyDescent="0.2">
      <c r="B83" s="1" t="s">
        <v>235</v>
      </c>
      <c r="C83" s="1" t="str">
        <f>"5023027"</f>
        <v>5023027</v>
      </c>
      <c r="D83" s="3" t="s">
        <v>261</v>
      </c>
    </row>
    <row r="84" spans="1:12" x14ac:dyDescent="0.2">
      <c r="B84" s="1" t="s">
        <v>236</v>
      </c>
      <c r="C84" s="1" t="str">
        <f>"5023032"</f>
        <v>5023032</v>
      </c>
      <c r="D84" s="3" t="s">
        <v>261</v>
      </c>
    </row>
    <row r="85" spans="1:12" x14ac:dyDescent="0.2">
      <c r="B85" s="1" t="s">
        <v>237</v>
      </c>
      <c r="C85" s="1" t="str">
        <f>"5023028"</f>
        <v>5023028</v>
      </c>
      <c r="D85" s="3" t="s">
        <v>261</v>
      </c>
    </row>
    <row r="86" spans="1:12" x14ac:dyDescent="0.2">
      <c r="B86" s="135" t="s">
        <v>356</v>
      </c>
      <c r="C86" s="135">
        <v>5024</v>
      </c>
      <c r="D86" s="136" t="s">
        <v>262</v>
      </c>
    </row>
    <row r="87" spans="1:12" x14ac:dyDescent="0.2">
      <c r="B87" s="1" t="s">
        <v>272</v>
      </c>
      <c r="C87" s="129" t="s">
        <v>271</v>
      </c>
      <c r="D87" s="3" t="s">
        <v>262</v>
      </c>
      <c r="L87" s="2"/>
    </row>
    <row r="88" spans="1:12" x14ac:dyDescent="0.2">
      <c r="B88" s="1" t="s">
        <v>23</v>
      </c>
      <c r="C88" s="1" t="str">
        <f>"5024288"</f>
        <v>5024288</v>
      </c>
      <c r="D88" s="3" t="s">
        <v>262</v>
      </c>
    </row>
    <row r="89" spans="1:12" x14ac:dyDescent="0.2">
      <c r="B89" s="1" t="s">
        <v>30</v>
      </c>
      <c r="C89" s="1" t="str">
        <f>"5024276"</f>
        <v>5024276</v>
      </c>
      <c r="D89" s="3" t="s">
        <v>262</v>
      </c>
    </row>
    <row r="90" spans="1:12" x14ac:dyDescent="0.2">
      <c r="B90" s="1" t="s">
        <v>40</v>
      </c>
      <c r="C90" s="1" t="str">
        <f>"5024258"</f>
        <v>5024258</v>
      </c>
      <c r="D90" s="3" t="s">
        <v>262</v>
      </c>
    </row>
    <row r="91" spans="1:12" x14ac:dyDescent="0.2">
      <c r="B91" s="88" t="s">
        <v>443</v>
      </c>
      <c r="C91" s="1" t="str">
        <f>"5024291"</f>
        <v>5024291</v>
      </c>
      <c r="D91" s="3" t="s">
        <v>262</v>
      </c>
    </row>
    <row r="92" spans="1:12" x14ac:dyDescent="0.2">
      <c r="B92" s="1" t="s">
        <v>70</v>
      </c>
      <c r="C92" s="1" t="str">
        <f>"5024292"</f>
        <v>5024292</v>
      </c>
      <c r="D92" s="3" t="s">
        <v>262</v>
      </c>
      <c r="I92" s="7"/>
      <c r="J92" s="7"/>
    </row>
    <row r="93" spans="1:12" x14ac:dyDescent="0.2">
      <c r="B93" s="1" t="s">
        <v>82</v>
      </c>
      <c r="C93" s="1" t="str">
        <f>"5024255"</f>
        <v>5024255</v>
      </c>
      <c r="D93" s="3" t="s">
        <v>262</v>
      </c>
    </row>
    <row r="94" spans="1:12" x14ac:dyDescent="0.2">
      <c r="A94" s="84"/>
      <c r="B94" s="1" t="s">
        <v>93</v>
      </c>
      <c r="C94" s="1" t="str">
        <f>"5024022"</f>
        <v>5024022</v>
      </c>
      <c r="D94" s="3" t="s">
        <v>262</v>
      </c>
      <c r="E94" s="84"/>
      <c r="F94" s="84"/>
    </row>
    <row r="95" spans="1:12" x14ac:dyDescent="0.2">
      <c r="B95" s="1" t="s">
        <v>101</v>
      </c>
      <c r="C95" s="1" t="str">
        <f>"5024260"</f>
        <v>5024260</v>
      </c>
      <c r="D95" s="3" t="s">
        <v>262</v>
      </c>
    </row>
    <row r="96" spans="1:12" x14ac:dyDescent="0.2">
      <c r="B96" s="84" t="s">
        <v>420</v>
      </c>
      <c r="C96" s="1" t="str">
        <f>"5024001"</f>
        <v>5024001</v>
      </c>
      <c r="D96" s="3" t="s">
        <v>262</v>
      </c>
      <c r="G96" s="7"/>
    </row>
    <row r="97" spans="2:4" x14ac:dyDescent="0.2">
      <c r="B97" s="1" t="s">
        <v>112</v>
      </c>
      <c r="C97" s="1" t="str">
        <f>"5024263"</f>
        <v>5024263</v>
      </c>
      <c r="D97" s="3" t="s">
        <v>262</v>
      </c>
    </row>
    <row r="98" spans="2:4" x14ac:dyDescent="0.2">
      <c r="B98" s="1" t="s">
        <v>238</v>
      </c>
      <c r="C98" s="1" t="str">
        <f>"5024252"</f>
        <v>5024252</v>
      </c>
      <c r="D98" s="3" t="s">
        <v>262</v>
      </c>
    </row>
    <row r="99" spans="2:4" x14ac:dyDescent="0.2">
      <c r="B99" s="1" t="s">
        <v>121</v>
      </c>
      <c r="C99" s="1" t="str">
        <f>"5024267"</f>
        <v>5024267</v>
      </c>
      <c r="D99" s="3" t="s">
        <v>262</v>
      </c>
    </row>
    <row r="100" spans="2:4" x14ac:dyDescent="0.2">
      <c r="B100" s="1" t="s">
        <v>239</v>
      </c>
      <c r="C100" s="1" t="str">
        <f>"5024271"</f>
        <v>5024271</v>
      </c>
      <c r="D100" s="3" t="s">
        <v>262</v>
      </c>
    </row>
    <row r="101" spans="2:4" x14ac:dyDescent="0.2">
      <c r="B101" s="1" t="s">
        <v>139</v>
      </c>
      <c r="C101" s="1" t="str">
        <f>"5024293"</f>
        <v>5024293</v>
      </c>
      <c r="D101" s="3" t="s">
        <v>262</v>
      </c>
    </row>
    <row r="102" spans="2:4" x14ac:dyDescent="0.2">
      <c r="B102" s="1" t="s">
        <v>155</v>
      </c>
      <c r="C102" s="1" t="str">
        <f>"5024268"</f>
        <v>5024268</v>
      </c>
      <c r="D102" s="3" t="s">
        <v>262</v>
      </c>
    </row>
    <row r="103" spans="2:4" x14ac:dyDescent="0.2">
      <c r="B103" s="1" t="s">
        <v>161</v>
      </c>
      <c r="C103" s="1" t="str">
        <f>"5024280"</f>
        <v>5024280</v>
      </c>
      <c r="D103" s="3" t="s">
        <v>262</v>
      </c>
    </row>
    <row r="104" spans="2:4" x14ac:dyDescent="0.2">
      <c r="B104" s="1" t="s">
        <v>240</v>
      </c>
      <c r="C104" s="1" t="str">
        <f>"5024270"</f>
        <v>5024270</v>
      </c>
      <c r="D104" s="3" t="s">
        <v>262</v>
      </c>
    </row>
    <row r="105" spans="2:4" x14ac:dyDescent="0.2">
      <c r="B105" s="1" t="s">
        <v>172</v>
      </c>
      <c r="C105" s="1" t="str">
        <f>"5024264"</f>
        <v>5024264</v>
      </c>
      <c r="D105" s="3" t="s">
        <v>262</v>
      </c>
    </row>
    <row r="106" spans="2:4" x14ac:dyDescent="0.2">
      <c r="B106" s="1" t="s">
        <v>177</v>
      </c>
      <c r="C106" s="1" t="str">
        <f>"5024269"</f>
        <v>5024269</v>
      </c>
      <c r="D106" s="3" t="s">
        <v>262</v>
      </c>
    </row>
    <row r="107" spans="2:4" x14ac:dyDescent="0.2">
      <c r="B107" s="1" t="s">
        <v>180</v>
      </c>
      <c r="C107" s="1" t="str">
        <f>"5024273"</f>
        <v>5024273</v>
      </c>
      <c r="D107" s="3" t="s">
        <v>262</v>
      </c>
    </row>
    <row r="108" spans="2:4" x14ac:dyDescent="0.2">
      <c r="B108" s="1" t="s">
        <v>184</v>
      </c>
      <c r="C108" s="1" t="str">
        <f>"5024275"</f>
        <v>5024275</v>
      </c>
      <c r="D108" s="3" t="s">
        <v>262</v>
      </c>
    </row>
    <row r="109" spans="2:4" x14ac:dyDescent="0.2">
      <c r="B109" s="1" t="s">
        <v>189</v>
      </c>
      <c r="C109" s="1" t="str">
        <f>"5024283"</f>
        <v>5024283</v>
      </c>
      <c r="D109" s="3" t="s">
        <v>262</v>
      </c>
    </row>
    <row r="110" spans="2:4" x14ac:dyDescent="0.2">
      <c r="B110" s="135" t="s">
        <v>342</v>
      </c>
      <c r="C110" s="135">
        <v>5033</v>
      </c>
      <c r="D110" s="136" t="s">
        <v>263</v>
      </c>
    </row>
    <row r="111" spans="2:4" x14ac:dyDescent="0.2">
      <c r="B111" s="1" t="s">
        <v>371</v>
      </c>
      <c r="C111" s="1" t="s">
        <v>373</v>
      </c>
      <c r="D111" s="3" t="s">
        <v>263</v>
      </c>
    </row>
    <row r="112" spans="2:4" x14ac:dyDescent="0.2">
      <c r="B112" s="1" t="s">
        <v>372</v>
      </c>
      <c r="C112" s="1" t="s">
        <v>374</v>
      </c>
      <c r="D112" s="3" t="s">
        <v>263</v>
      </c>
    </row>
    <row r="113" spans="2:14" x14ac:dyDescent="0.2">
      <c r="B113" s="1" t="s">
        <v>13</v>
      </c>
      <c r="C113" s="1" t="str">
        <f>"5033085"</f>
        <v>5033085</v>
      </c>
      <c r="D113" s="3" t="s">
        <v>263</v>
      </c>
    </row>
    <row r="114" spans="2:14" x14ac:dyDescent="0.2">
      <c r="B114" s="1" t="s">
        <v>31</v>
      </c>
      <c r="C114" s="1" t="str">
        <f>"5033066"</f>
        <v>5033066</v>
      </c>
      <c r="D114" s="3" t="s">
        <v>263</v>
      </c>
    </row>
    <row r="115" spans="2:14" x14ac:dyDescent="0.2">
      <c r="B115" s="140" t="s">
        <v>465</v>
      </c>
      <c r="C115" s="1" t="str">
        <f>"5033072"</f>
        <v>5033072</v>
      </c>
      <c r="D115" s="3" t="s">
        <v>263</v>
      </c>
    </row>
    <row r="116" spans="2:14" x14ac:dyDescent="0.2">
      <c r="B116" s="1" t="s">
        <v>41</v>
      </c>
      <c r="C116" s="1" t="str">
        <f>"5033009"</f>
        <v>5033009</v>
      </c>
      <c r="D116" s="3" t="s">
        <v>263</v>
      </c>
    </row>
    <row r="117" spans="2:14" x14ac:dyDescent="0.2">
      <c r="B117" s="1" t="s">
        <v>365</v>
      </c>
      <c r="C117" s="1">
        <v>5033065</v>
      </c>
      <c r="D117" s="3" t="s">
        <v>263</v>
      </c>
    </row>
    <row r="118" spans="2:14" x14ac:dyDescent="0.2">
      <c r="B118" s="1" t="s">
        <v>50</v>
      </c>
      <c r="C118" s="1" t="str">
        <f>"5033041"</f>
        <v>5033041</v>
      </c>
      <c r="D118" s="3" t="s">
        <v>263</v>
      </c>
    </row>
    <row r="119" spans="2:14" x14ac:dyDescent="0.2">
      <c r="B119" s="1" t="s">
        <v>61</v>
      </c>
      <c r="C119" s="1" t="str">
        <f>"5033011"</f>
        <v>5033011</v>
      </c>
      <c r="D119" s="3" t="s">
        <v>263</v>
      </c>
    </row>
    <row r="120" spans="2:14" x14ac:dyDescent="0.2">
      <c r="B120" s="129" t="s">
        <v>464</v>
      </c>
      <c r="C120" s="1" t="str">
        <f>"5033049"</f>
        <v>5033049</v>
      </c>
      <c r="D120" s="3" t="s">
        <v>263</v>
      </c>
    </row>
    <row r="121" spans="2:14" x14ac:dyDescent="0.2">
      <c r="B121" s="142" t="s">
        <v>71</v>
      </c>
      <c r="C121" s="1" t="str">
        <f>"5033080"</f>
        <v>5033080</v>
      </c>
      <c r="D121" s="3" t="s">
        <v>263</v>
      </c>
    </row>
    <row r="122" spans="2:14" x14ac:dyDescent="0.2">
      <c r="B122" s="142" t="s">
        <v>83</v>
      </c>
      <c r="C122" s="1" t="str">
        <f>"5033078"</f>
        <v>5033078</v>
      </c>
      <c r="D122" s="3" t="s">
        <v>263</v>
      </c>
    </row>
    <row r="123" spans="2:14" x14ac:dyDescent="0.2">
      <c r="B123" s="145" t="s">
        <v>463</v>
      </c>
      <c r="C123" s="1" t="str">
        <f>"5033070"</f>
        <v>5033070</v>
      </c>
      <c r="D123" s="3" t="s">
        <v>263</v>
      </c>
    </row>
    <row r="124" spans="2:14" x14ac:dyDescent="0.2">
      <c r="B124" s="142" t="s">
        <v>102</v>
      </c>
      <c r="C124" s="1" t="str">
        <f>"5033012"</f>
        <v>5033012</v>
      </c>
      <c r="D124" s="3" t="s">
        <v>263</v>
      </c>
    </row>
    <row r="125" spans="2:14" x14ac:dyDescent="0.2">
      <c r="B125" s="142" t="s">
        <v>113</v>
      </c>
      <c r="C125" s="1" t="str">
        <f>"5033014"</f>
        <v>5033014</v>
      </c>
      <c r="D125" s="3" t="s">
        <v>263</v>
      </c>
    </row>
    <row r="126" spans="2:14" x14ac:dyDescent="0.2">
      <c r="B126" s="142" t="s">
        <v>122</v>
      </c>
      <c r="C126" s="1" t="str">
        <f>"5033074"</f>
        <v>5033074</v>
      </c>
      <c r="D126" s="3" t="s">
        <v>263</v>
      </c>
    </row>
    <row r="127" spans="2:14" x14ac:dyDescent="0.2">
      <c r="B127" s="142" t="s">
        <v>130</v>
      </c>
      <c r="C127" s="1" t="str">
        <f>"5033079"</f>
        <v>5033079</v>
      </c>
      <c r="D127" s="3" t="s">
        <v>263</v>
      </c>
      <c r="K127" s="2"/>
      <c r="L127" s="2"/>
      <c r="N127" s="2"/>
    </row>
    <row r="128" spans="2:14" x14ac:dyDescent="0.2">
      <c r="B128" s="142" t="s">
        <v>146</v>
      </c>
      <c r="C128" s="1" t="str">
        <f>"5033043"</f>
        <v>5033043</v>
      </c>
      <c r="D128" s="3" t="s">
        <v>263</v>
      </c>
    </row>
    <row r="129" spans="2:9" x14ac:dyDescent="0.2">
      <c r="B129" s="144" t="s">
        <v>451</v>
      </c>
      <c r="C129" s="1" t="str">
        <f>"5033068"</f>
        <v>5033068</v>
      </c>
      <c r="D129" s="3" t="s">
        <v>263</v>
      </c>
    </row>
    <row r="130" spans="2:9" x14ac:dyDescent="0.2">
      <c r="B130" s="142" t="s">
        <v>241</v>
      </c>
      <c r="C130" s="1" t="str">
        <f>"5033004"</f>
        <v>5033004</v>
      </c>
      <c r="D130" s="3" t="s">
        <v>263</v>
      </c>
    </row>
    <row r="131" spans="2:9" x14ac:dyDescent="0.2">
      <c r="B131" s="142" t="s">
        <v>434</v>
      </c>
      <c r="C131" s="88" t="str">
        <f>"5033100"</f>
        <v>5033100</v>
      </c>
      <c r="D131" s="88" t="s">
        <v>263</v>
      </c>
    </row>
    <row r="132" spans="2:9" x14ac:dyDescent="0.2">
      <c r="B132" s="142" t="s">
        <v>242</v>
      </c>
      <c r="C132" s="1" t="str">
        <f>"5033050"</f>
        <v>5033050</v>
      </c>
      <c r="D132" s="3" t="s">
        <v>263</v>
      </c>
      <c r="I132" s="7"/>
    </row>
    <row r="133" spans="2:9" x14ac:dyDescent="0.2">
      <c r="B133" s="145" t="s">
        <v>454</v>
      </c>
      <c r="C133" s="138" t="str">
        <f>"5033071"</f>
        <v>5033071</v>
      </c>
      <c r="D133" s="3" t="s">
        <v>263</v>
      </c>
    </row>
    <row r="134" spans="2:9" x14ac:dyDescent="0.2">
      <c r="B134" s="142" t="s">
        <v>173</v>
      </c>
      <c r="C134" s="1" t="str">
        <f>"5033042"</f>
        <v>5033042</v>
      </c>
      <c r="D134" s="3" t="s">
        <v>263</v>
      </c>
    </row>
    <row r="135" spans="2:9" x14ac:dyDescent="0.2">
      <c r="B135" s="142" t="s">
        <v>243</v>
      </c>
      <c r="C135" s="1" t="str">
        <f>"5033039"</f>
        <v>5033039</v>
      </c>
      <c r="D135" s="3" t="s">
        <v>263</v>
      </c>
    </row>
    <row r="136" spans="2:9" x14ac:dyDescent="0.2">
      <c r="B136" s="142" t="s">
        <v>181</v>
      </c>
      <c r="C136" s="1" t="str">
        <f>"5033037"</f>
        <v>5033037</v>
      </c>
      <c r="D136" s="3" t="s">
        <v>263</v>
      </c>
    </row>
    <row r="137" spans="2:9" x14ac:dyDescent="0.2">
      <c r="B137" s="142" t="s">
        <v>185</v>
      </c>
      <c r="C137" s="1" t="str">
        <f>"5033017"</f>
        <v>5033017</v>
      </c>
      <c r="D137" s="3" t="s">
        <v>263</v>
      </c>
    </row>
    <row r="138" spans="2:9" x14ac:dyDescent="0.2">
      <c r="B138" s="1" t="s">
        <v>244</v>
      </c>
      <c r="C138" s="1" t="str">
        <f>"5033057"</f>
        <v>5033057</v>
      </c>
      <c r="D138" s="3" t="s">
        <v>263</v>
      </c>
    </row>
    <row r="139" spans="2:9" x14ac:dyDescent="0.2">
      <c r="B139" s="1" t="s">
        <v>190</v>
      </c>
      <c r="C139" s="1" t="str">
        <f>"5033034"</f>
        <v>5033034</v>
      </c>
      <c r="D139" s="3" t="s">
        <v>263</v>
      </c>
    </row>
    <row r="140" spans="2:9" x14ac:dyDescent="0.2">
      <c r="B140" s="1" t="s">
        <v>363</v>
      </c>
      <c r="C140" s="1" t="str">
        <f>"5033062"</f>
        <v>5033062</v>
      </c>
      <c r="D140" s="3" t="s">
        <v>263</v>
      </c>
    </row>
    <row r="141" spans="2:9" x14ac:dyDescent="0.2">
      <c r="B141" s="1" t="s">
        <v>193</v>
      </c>
      <c r="C141" s="1" t="str">
        <f>"5033018"</f>
        <v>5033018</v>
      </c>
      <c r="D141" s="3" t="s">
        <v>263</v>
      </c>
    </row>
    <row r="142" spans="2:9" x14ac:dyDescent="0.2">
      <c r="B142" s="1" t="s">
        <v>196</v>
      </c>
      <c r="C142" s="1" t="str">
        <f>"5033020"</f>
        <v>5033020</v>
      </c>
      <c r="D142" s="3" t="s">
        <v>263</v>
      </c>
    </row>
    <row r="143" spans="2:9" x14ac:dyDescent="0.2">
      <c r="B143" s="1" t="s">
        <v>199</v>
      </c>
      <c r="C143" s="1" t="str">
        <f>"5033026"</f>
        <v>5033026</v>
      </c>
      <c r="D143" s="3" t="s">
        <v>263</v>
      </c>
    </row>
    <row r="144" spans="2:9" x14ac:dyDescent="0.2">
      <c r="B144" s="1" t="s">
        <v>201</v>
      </c>
      <c r="C144" s="1" t="str">
        <f>"5033001"</f>
        <v>5033001</v>
      </c>
      <c r="D144" s="3" t="s">
        <v>263</v>
      </c>
    </row>
    <row r="145" spans="2:4" x14ac:dyDescent="0.2">
      <c r="B145" s="1" t="s">
        <v>203</v>
      </c>
      <c r="C145" s="1" t="str">
        <f>"5033094"</f>
        <v>5033094</v>
      </c>
      <c r="D145" s="3" t="s">
        <v>263</v>
      </c>
    </row>
    <row r="146" spans="2:4" x14ac:dyDescent="0.2">
      <c r="B146" s="1" t="s">
        <v>205</v>
      </c>
      <c r="C146" s="1" t="str">
        <f>"5033096"</f>
        <v>5033096</v>
      </c>
      <c r="D146" s="3" t="s">
        <v>263</v>
      </c>
    </row>
    <row r="147" spans="2:4" x14ac:dyDescent="0.2">
      <c r="B147" s="1" t="s">
        <v>207</v>
      </c>
      <c r="C147" s="1" t="str">
        <f>"5033033"</f>
        <v>5033033</v>
      </c>
      <c r="D147" s="3" t="s">
        <v>263</v>
      </c>
    </row>
    <row r="148" spans="2:4" x14ac:dyDescent="0.2">
      <c r="B148" s="1" t="s">
        <v>209</v>
      </c>
      <c r="C148" s="1" t="str">
        <f>"5033038"</f>
        <v>5033038</v>
      </c>
      <c r="D148" s="3" t="s">
        <v>263</v>
      </c>
    </row>
    <row r="149" spans="2:4" x14ac:dyDescent="0.2">
      <c r="B149" s="1" t="s">
        <v>210</v>
      </c>
      <c r="C149" s="1" t="str">
        <f>"5033064"</f>
        <v>5033064</v>
      </c>
      <c r="D149" s="3" t="s">
        <v>263</v>
      </c>
    </row>
    <row r="150" spans="2:4" x14ac:dyDescent="0.2">
      <c r="B150" s="1" t="s">
        <v>211</v>
      </c>
      <c r="C150" s="1" t="str">
        <f>"5033008"</f>
        <v>5033008</v>
      </c>
      <c r="D150" s="3" t="s">
        <v>263</v>
      </c>
    </row>
    <row r="151" spans="2:4" x14ac:dyDescent="0.2">
      <c r="B151" s="1" t="s">
        <v>245</v>
      </c>
      <c r="C151" s="1" t="str">
        <f>"5033061"</f>
        <v>5033061</v>
      </c>
      <c r="D151" s="3" t="s">
        <v>263</v>
      </c>
    </row>
    <row r="152" spans="2:4" x14ac:dyDescent="0.2">
      <c r="B152" s="85" t="s">
        <v>450</v>
      </c>
      <c r="C152" s="1" t="str">
        <f>"5033067"</f>
        <v>5033067</v>
      </c>
      <c r="D152" s="3" t="s">
        <v>263</v>
      </c>
    </row>
    <row r="153" spans="2:4" x14ac:dyDescent="0.2">
      <c r="B153" s="1" t="s">
        <v>212</v>
      </c>
      <c r="C153" s="1" t="str">
        <f>"5033036"</f>
        <v>5033036</v>
      </c>
      <c r="D153" s="3" t="s">
        <v>263</v>
      </c>
    </row>
    <row r="154" spans="2:4" x14ac:dyDescent="0.2">
      <c r="B154" s="1" t="s">
        <v>213</v>
      </c>
      <c r="C154" s="1" t="str">
        <f>"5033047"</f>
        <v>5033047</v>
      </c>
      <c r="D154" s="3" t="s">
        <v>263</v>
      </c>
    </row>
    <row r="155" spans="2:4" x14ac:dyDescent="0.2">
      <c r="B155" s="1" t="s">
        <v>214</v>
      </c>
      <c r="C155" s="1" t="str">
        <f>"5033040"</f>
        <v>5033040</v>
      </c>
      <c r="D155" s="3" t="s">
        <v>263</v>
      </c>
    </row>
    <row r="156" spans="2:4" x14ac:dyDescent="0.2">
      <c r="B156" s="1" t="s">
        <v>246</v>
      </c>
      <c r="C156" s="1" t="str">
        <f>"5033044"</f>
        <v>5033044</v>
      </c>
      <c r="D156" s="3" t="s">
        <v>263</v>
      </c>
    </row>
    <row r="157" spans="2:4" x14ac:dyDescent="0.2">
      <c r="B157" s="1" t="s">
        <v>215</v>
      </c>
      <c r="C157" s="1" t="str">
        <f>"5033045"</f>
        <v>5033045</v>
      </c>
      <c r="D157" s="3" t="s">
        <v>263</v>
      </c>
    </row>
    <row r="158" spans="2:4" x14ac:dyDescent="0.2">
      <c r="B158" s="1" t="s">
        <v>247</v>
      </c>
      <c r="C158" s="1" t="str">
        <f>"5033046"</f>
        <v>5033046</v>
      </c>
      <c r="D158" s="3" t="s">
        <v>263</v>
      </c>
    </row>
    <row r="159" spans="2:4" x14ac:dyDescent="0.2">
      <c r="B159" s="1" t="s">
        <v>216</v>
      </c>
      <c r="C159" s="1" t="str">
        <f>"5033083"</f>
        <v>5033083</v>
      </c>
      <c r="D159" s="3" t="s">
        <v>263</v>
      </c>
    </row>
    <row r="160" spans="2:4" x14ac:dyDescent="0.2">
      <c r="B160" s="1" t="s">
        <v>217</v>
      </c>
      <c r="C160" s="1" t="str">
        <f>"5033051"</f>
        <v>5033051</v>
      </c>
      <c r="D160" s="3" t="s">
        <v>263</v>
      </c>
    </row>
    <row r="161" spans="2:4" x14ac:dyDescent="0.2">
      <c r="B161" s="1" t="s">
        <v>218</v>
      </c>
      <c r="C161" s="1" t="str">
        <f>"5033015"</f>
        <v>5033015</v>
      </c>
      <c r="D161" s="3" t="s">
        <v>263</v>
      </c>
    </row>
    <row r="162" spans="2:4" x14ac:dyDescent="0.2">
      <c r="B162" s="1" t="s">
        <v>219</v>
      </c>
      <c r="C162" s="1" t="str">
        <f>"5033025"</f>
        <v>5033025</v>
      </c>
      <c r="D162" s="3" t="s">
        <v>263</v>
      </c>
    </row>
    <row r="163" spans="2:4" x14ac:dyDescent="0.2">
      <c r="B163" s="1" t="s">
        <v>220</v>
      </c>
      <c r="C163" s="1" t="str">
        <f>"5033056"</f>
        <v>5033056</v>
      </c>
      <c r="D163" s="3" t="s">
        <v>263</v>
      </c>
    </row>
    <row r="164" spans="2:4" x14ac:dyDescent="0.2">
      <c r="B164" s="1" t="s">
        <v>221</v>
      </c>
      <c r="C164" s="1" t="str">
        <f>"5033091"</f>
        <v>5033091</v>
      </c>
      <c r="D164" s="3" t="s">
        <v>263</v>
      </c>
    </row>
    <row r="165" spans="2:4" x14ac:dyDescent="0.2">
      <c r="B165" s="135" t="s">
        <v>357</v>
      </c>
      <c r="C165" s="135">
        <v>5040</v>
      </c>
      <c r="D165" s="136" t="s">
        <v>264</v>
      </c>
    </row>
    <row r="166" spans="2:4" x14ac:dyDescent="0.2">
      <c r="B166" s="1" t="s">
        <v>248</v>
      </c>
      <c r="C166" s="1" t="str">
        <f>"5040001"</f>
        <v>5040001</v>
      </c>
      <c r="D166" s="3" t="s">
        <v>264</v>
      </c>
    </row>
    <row r="167" spans="2:4" x14ac:dyDescent="0.2">
      <c r="B167" s="142" t="s">
        <v>14</v>
      </c>
      <c r="C167" s="1" t="str">
        <f>"5040175"</f>
        <v>5040175</v>
      </c>
      <c r="D167" s="3" t="s">
        <v>264</v>
      </c>
    </row>
    <row r="168" spans="2:4" x14ac:dyDescent="0.2">
      <c r="B168" s="142" t="s">
        <v>24</v>
      </c>
      <c r="C168" s="1" t="str">
        <f>"5040155"</f>
        <v>5040155</v>
      </c>
      <c r="D168" s="3" t="s">
        <v>264</v>
      </c>
    </row>
    <row r="169" spans="2:4" x14ac:dyDescent="0.2">
      <c r="B169" s="142" t="s">
        <v>455</v>
      </c>
      <c r="C169" s="1" t="str">
        <f>"5040150"</f>
        <v>5040150</v>
      </c>
      <c r="D169" s="3" t="s">
        <v>264</v>
      </c>
    </row>
    <row r="170" spans="2:4" x14ac:dyDescent="0.2">
      <c r="B170" s="142" t="s">
        <v>32</v>
      </c>
      <c r="C170" s="1" t="str">
        <f>"5040156"</f>
        <v>5040156</v>
      </c>
      <c r="D170" s="3" t="s">
        <v>264</v>
      </c>
    </row>
    <row r="171" spans="2:4" x14ac:dyDescent="0.2">
      <c r="B171" s="142" t="s">
        <v>42</v>
      </c>
      <c r="C171" s="1" t="str">
        <f>"5040164"</f>
        <v>5040164</v>
      </c>
      <c r="D171" s="3" t="s">
        <v>264</v>
      </c>
    </row>
    <row r="172" spans="2:4" x14ac:dyDescent="0.2">
      <c r="B172" s="142" t="s">
        <v>457</v>
      </c>
      <c r="C172" s="1" t="str">
        <f>"5040170"</f>
        <v>5040170</v>
      </c>
      <c r="D172" s="3" t="s">
        <v>264</v>
      </c>
    </row>
    <row r="173" spans="2:4" x14ac:dyDescent="0.2">
      <c r="B173" s="142" t="s">
        <v>51</v>
      </c>
      <c r="C173" s="1" t="str">
        <f>"5040167"</f>
        <v>5040167</v>
      </c>
      <c r="D173" s="3" t="s">
        <v>264</v>
      </c>
    </row>
    <row r="174" spans="2:4" x14ac:dyDescent="0.2">
      <c r="B174" s="142" t="s">
        <v>62</v>
      </c>
      <c r="C174" s="1" t="str">
        <f>"5040173"</f>
        <v>5040173</v>
      </c>
      <c r="D174" s="3" t="s">
        <v>264</v>
      </c>
    </row>
    <row r="175" spans="2:4" x14ac:dyDescent="0.2">
      <c r="B175" s="142" t="s">
        <v>72</v>
      </c>
      <c r="C175" s="1" t="str">
        <f>"5040160"</f>
        <v>5040160</v>
      </c>
      <c r="D175" s="3" t="s">
        <v>264</v>
      </c>
    </row>
    <row r="176" spans="2:4" x14ac:dyDescent="0.2">
      <c r="B176" s="1" t="s">
        <v>84</v>
      </c>
      <c r="C176" s="1" t="str">
        <f>"5040163"</f>
        <v>5040163</v>
      </c>
      <c r="D176" s="3" t="s">
        <v>264</v>
      </c>
    </row>
    <row r="177" spans="2:4" x14ac:dyDescent="0.2">
      <c r="B177" s="1" t="s">
        <v>94</v>
      </c>
      <c r="C177" s="1" t="str">
        <f>"5040162"</f>
        <v>5040162</v>
      </c>
      <c r="D177" s="3" t="s">
        <v>264</v>
      </c>
    </row>
    <row r="178" spans="2:4" x14ac:dyDescent="0.2">
      <c r="B178" s="1" t="s">
        <v>103</v>
      </c>
      <c r="C178" s="1" t="str">
        <f>"5040171"</f>
        <v>5040171</v>
      </c>
      <c r="D178" s="3" t="s">
        <v>264</v>
      </c>
    </row>
    <row r="179" spans="2:4" x14ac:dyDescent="0.2">
      <c r="B179" s="1" t="s">
        <v>114</v>
      </c>
      <c r="C179" s="1" t="str">
        <f>"5040166"</f>
        <v>5040166</v>
      </c>
      <c r="D179" s="3" t="s">
        <v>264</v>
      </c>
    </row>
    <row r="180" spans="2:4" x14ac:dyDescent="0.2">
      <c r="B180" s="135" t="s">
        <v>358</v>
      </c>
      <c r="C180" s="135">
        <v>5047</v>
      </c>
      <c r="D180" s="136" t="s">
        <v>265</v>
      </c>
    </row>
    <row r="181" spans="2:4" x14ac:dyDescent="0.2">
      <c r="B181" s="1" t="s">
        <v>249</v>
      </c>
      <c r="C181" s="1" t="str">
        <f>"5047232"</f>
        <v>5047232</v>
      </c>
      <c r="D181" s="3" t="s">
        <v>265</v>
      </c>
    </row>
    <row r="182" spans="2:4" x14ac:dyDescent="0.2">
      <c r="B182" s="1" t="s">
        <v>430</v>
      </c>
      <c r="C182" s="1" t="str">
        <f>"5047204"</f>
        <v>5047204</v>
      </c>
      <c r="D182" s="3" t="s">
        <v>265</v>
      </c>
    </row>
    <row r="183" spans="2:4" x14ac:dyDescent="0.2">
      <c r="B183" s="1" t="s">
        <v>43</v>
      </c>
      <c r="C183" s="1" t="str">
        <f>"5047207"</f>
        <v>5047207</v>
      </c>
      <c r="D183" s="3" t="s">
        <v>265</v>
      </c>
    </row>
    <row r="184" spans="2:4" x14ac:dyDescent="0.2">
      <c r="B184" s="1" t="s">
        <v>52</v>
      </c>
      <c r="C184" s="1" t="str">
        <f>"5047230"</f>
        <v>5047230</v>
      </c>
      <c r="D184" s="3" t="s">
        <v>265</v>
      </c>
    </row>
    <row r="185" spans="2:4" x14ac:dyDescent="0.2">
      <c r="B185" s="1" t="s">
        <v>63</v>
      </c>
      <c r="C185" s="1" t="str">
        <f>"5047214"</f>
        <v>5047214</v>
      </c>
      <c r="D185" s="3" t="s">
        <v>265</v>
      </c>
    </row>
    <row r="186" spans="2:4" x14ac:dyDescent="0.2">
      <c r="B186" s="1" t="s">
        <v>73</v>
      </c>
      <c r="C186" s="1" t="str">
        <f>"5047206"</f>
        <v>5047206</v>
      </c>
      <c r="D186" s="3" t="s">
        <v>265</v>
      </c>
    </row>
    <row r="187" spans="2:4" x14ac:dyDescent="0.2">
      <c r="B187" s="1" t="s">
        <v>85</v>
      </c>
      <c r="C187" s="1" t="str">
        <f>"5047002"</f>
        <v>5047002</v>
      </c>
      <c r="D187" s="3" t="s">
        <v>265</v>
      </c>
    </row>
    <row r="188" spans="2:4" x14ac:dyDescent="0.2">
      <c r="B188" s="1" t="s">
        <v>250</v>
      </c>
      <c r="C188" s="1" t="str">
        <f>"5047226"</f>
        <v>5047226</v>
      </c>
      <c r="D188" s="3" t="s">
        <v>265</v>
      </c>
    </row>
    <row r="189" spans="2:4" x14ac:dyDescent="0.2">
      <c r="B189" s="1" t="s">
        <v>104</v>
      </c>
      <c r="C189" s="1" t="str">
        <f>"5047208"</f>
        <v>5047208</v>
      </c>
      <c r="D189" s="3" t="s">
        <v>265</v>
      </c>
    </row>
    <row r="190" spans="2:4" x14ac:dyDescent="0.2">
      <c r="B190" s="1" t="s">
        <v>115</v>
      </c>
      <c r="C190" s="1" t="str">
        <f>"5047219"</f>
        <v>5047219</v>
      </c>
      <c r="D190" s="3" t="s">
        <v>265</v>
      </c>
    </row>
    <row r="191" spans="2:4" x14ac:dyDescent="0.2">
      <c r="B191" s="138" t="s">
        <v>452</v>
      </c>
      <c r="C191" s="1" t="str">
        <f>"5047233"</f>
        <v>5047233</v>
      </c>
      <c r="D191" s="3" t="s">
        <v>265</v>
      </c>
    </row>
    <row r="192" spans="2:4" x14ac:dyDescent="0.2">
      <c r="B192" s="1" t="s">
        <v>251</v>
      </c>
      <c r="C192" s="1" t="str">
        <f>"5047201"</f>
        <v>5047201</v>
      </c>
      <c r="D192" s="3" t="s">
        <v>265</v>
      </c>
    </row>
    <row r="193" spans="2:14" x14ac:dyDescent="0.2">
      <c r="B193" s="1" t="s">
        <v>252</v>
      </c>
      <c r="C193" s="1" t="str">
        <f>"5047220"</f>
        <v>5047220</v>
      </c>
      <c r="D193" s="3" t="s">
        <v>265</v>
      </c>
    </row>
    <row r="194" spans="2:14" x14ac:dyDescent="0.2">
      <c r="B194" s="1" t="s">
        <v>131</v>
      </c>
      <c r="C194" s="1" t="str">
        <f>"5047211"</f>
        <v>5047211</v>
      </c>
      <c r="D194" s="3" t="s">
        <v>265</v>
      </c>
    </row>
    <row r="195" spans="2:14" x14ac:dyDescent="0.2">
      <c r="B195" s="1" t="s">
        <v>253</v>
      </c>
      <c r="C195" s="1" t="str">
        <f>"5047216"</f>
        <v>5047216</v>
      </c>
      <c r="D195" s="3" t="s">
        <v>265</v>
      </c>
      <c r="K195" s="2"/>
      <c r="M195" s="2"/>
      <c r="N195" s="2"/>
    </row>
    <row r="196" spans="2:14" x14ac:dyDescent="0.2">
      <c r="B196" s="1" t="s">
        <v>147</v>
      </c>
      <c r="C196" s="1" t="str">
        <f>"5047231"</f>
        <v>5047231</v>
      </c>
      <c r="D196" s="3" t="s">
        <v>265</v>
      </c>
    </row>
    <row r="197" spans="2:14" x14ac:dyDescent="0.2">
      <c r="B197" s="135" t="s">
        <v>359</v>
      </c>
      <c r="C197" s="135">
        <v>5064</v>
      </c>
      <c r="D197" s="136" t="s">
        <v>266</v>
      </c>
    </row>
    <row r="198" spans="2:14" x14ac:dyDescent="0.2">
      <c r="B198" s="1" t="s">
        <v>379</v>
      </c>
      <c r="C198" s="1" t="s">
        <v>380</v>
      </c>
      <c r="D198" s="3" t="s">
        <v>266</v>
      </c>
    </row>
    <row r="199" spans="2:14" x14ac:dyDescent="0.2">
      <c r="B199" s="1" t="s">
        <v>15</v>
      </c>
      <c r="C199" s="1" t="str">
        <f>"5064310"</f>
        <v>5064310</v>
      </c>
      <c r="D199" s="3" t="s">
        <v>266</v>
      </c>
    </row>
    <row r="200" spans="2:14" x14ac:dyDescent="0.2">
      <c r="B200" s="1" t="s">
        <v>254</v>
      </c>
      <c r="C200" s="1" t="str">
        <f>"5064357"</f>
        <v>5064357</v>
      </c>
      <c r="D200" s="3" t="s">
        <v>266</v>
      </c>
      <c r="H200" s="7"/>
      <c r="J200" s="7"/>
    </row>
    <row r="201" spans="2:14" x14ac:dyDescent="0.2">
      <c r="B201" s="1" t="s">
        <v>33</v>
      </c>
      <c r="C201" s="1" t="str">
        <f>"5064311"</f>
        <v>5064311</v>
      </c>
      <c r="D201" s="3" t="s">
        <v>266</v>
      </c>
    </row>
    <row r="202" spans="2:14" x14ac:dyDescent="0.2">
      <c r="B202" s="1" t="s">
        <v>255</v>
      </c>
      <c r="C202" s="1" t="str">
        <f>"5064316"</f>
        <v>5064316</v>
      </c>
      <c r="D202" s="3" t="s">
        <v>266</v>
      </c>
    </row>
    <row r="203" spans="2:14" x14ac:dyDescent="0.2">
      <c r="B203" s="1" t="s">
        <v>53</v>
      </c>
      <c r="C203" s="1" t="str">
        <f>"5064335"</f>
        <v>5064335</v>
      </c>
      <c r="D203" s="3" t="s">
        <v>266</v>
      </c>
    </row>
    <row r="204" spans="2:14" x14ac:dyDescent="0.2">
      <c r="B204" s="1" t="s">
        <v>64</v>
      </c>
      <c r="C204" s="1" t="str">
        <f>"5064356"</f>
        <v>5064356</v>
      </c>
      <c r="D204" s="3" t="s">
        <v>266</v>
      </c>
    </row>
    <row r="205" spans="2:14" x14ac:dyDescent="0.2">
      <c r="B205" s="1" t="s">
        <v>74</v>
      </c>
      <c r="C205" s="1" t="str">
        <f>"5064347"</f>
        <v>5064347</v>
      </c>
      <c r="D205" s="3" t="s">
        <v>266</v>
      </c>
    </row>
    <row r="206" spans="2:14" x14ac:dyDescent="0.2">
      <c r="B206" s="1" t="s">
        <v>86</v>
      </c>
      <c r="C206" s="1" t="str">
        <f>"5064318"</f>
        <v>5064318</v>
      </c>
      <c r="D206" s="3" t="s">
        <v>266</v>
      </c>
    </row>
    <row r="207" spans="2:14" x14ac:dyDescent="0.2">
      <c r="B207" s="1" t="s">
        <v>105</v>
      </c>
      <c r="C207" s="1" t="str">
        <f>"5064317"</f>
        <v>5064317</v>
      </c>
      <c r="D207" s="3" t="s">
        <v>266</v>
      </c>
    </row>
    <row r="208" spans="2:14" x14ac:dyDescent="0.2">
      <c r="B208" s="1" t="s">
        <v>123</v>
      </c>
      <c r="C208" s="1" t="str">
        <f>"5064320"</f>
        <v>5064320</v>
      </c>
      <c r="D208" s="3" t="s">
        <v>266</v>
      </c>
    </row>
    <row r="209" spans="2:4" x14ac:dyDescent="0.2">
      <c r="B209" s="1" t="s">
        <v>132</v>
      </c>
      <c r="C209" s="1" t="str">
        <f>"5064334"</f>
        <v>5064334</v>
      </c>
      <c r="D209" s="3" t="s">
        <v>266</v>
      </c>
    </row>
    <row r="210" spans="2:4" x14ac:dyDescent="0.2">
      <c r="B210" s="1" t="s">
        <v>140</v>
      </c>
      <c r="C210" s="1" t="str">
        <f>"5064351"</f>
        <v>5064351</v>
      </c>
      <c r="D210" s="3" t="s">
        <v>266</v>
      </c>
    </row>
    <row r="211" spans="2:4" x14ac:dyDescent="0.2">
      <c r="B211" s="1" t="s">
        <v>148</v>
      </c>
      <c r="C211" s="1" t="str">
        <f>"5064312"</f>
        <v>5064312</v>
      </c>
      <c r="D211" s="3" t="s">
        <v>266</v>
      </c>
    </row>
    <row r="212" spans="2:4" x14ac:dyDescent="0.2">
      <c r="B212" s="1" t="s">
        <v>162</v>
      </c>
      <c r="C212" s="1" t="str">
        <f>"5064324"</f>
        <v>5064324</v>
      </c>
      <c r="D212" s="3" t="s">
        <v>266</v>
      </c>
    </row>
    <row r="213" spans="2:4" x14ac:dyDescent="0.2">
      <c r="B213" s="1" t="s">
        <v>168</v>
      </c>
      <c r="C213" s="1" t="str">
        <f>"5064323"</f>
        <v>5064323</v>
      </c>
      <c r="D213" s="3" t="s">
        <v>266</v>
      </c>
    </row>
    <row r="214" spans="2:4" x14ac:dyDescent="0.2">
      <c r="B214" s="1" t="s">
        <v>431</v>
      </c>
      <c r="C214" s="1" t="str">
        <f>"5064331"</f>
        <v>5064331</v>
      </c>
      <c r="D214" s="1" t="s">
        <v>266</v>
      </c>
    </row>
    <row r="215" spans="2:4" x14ac:dyDescent="0.2">
      <c r="B215" s="1" t="s">
        <v>174</v>
      </c>
      <c r="C215" s="1" t="str">
        <f>"5064326"</f>
        <v>5064326</v>
      </c>
      <c r="D215" s="3" t="s">
        <v>266</v>
      </c>
    </row>
    <row r="216" spans="2:4" x14ac:dyDescent="0.2">
      <c r="B216" s="1" t="s">
        <v>178</v>
      </c>
      <c r="C216" s="1" t="str">
        <f>"5064327"</f>
        <v>5064327</v>
      </c>
      <c r="D216" s="3" t="s">
        <v>266</v>
      </c>
    </row>
    <row r="217" spans="2:4" x14ac:dyDescent="0.2">
      <c r="B217" s="1" t="s">
        <v>182</v>
      </c>
      <c r="C217" s="1" t="str">
        <f>"5064337"</f>
        <v>5064337</v>
      </c>
      <c r="D217" s="3" t="s">
        <v>266</v>
      </c>
    </row>
    <row r="218" spans="2:4" x14ac:dyDescent="0.2">
      <c r="B218" s="134" t="s">
        <v>447</v>
      </c>
      <c r="C218" s="1" t="str">
        <f>"5064350"</f>
        <v>5064350</v>
      </c>
      <c r="D218" s="3" t="s">
        <v>266</v>
      </c>
    </row>
    <row r="219" spans="2:4" x14ac:dyDescent="0.2">
      <c r="B219" s="1" t="s">
        <v>186</v>
      </c>
      <c r="C219" s="1" t="str">
        <f>"5064330"</f>
        <v>5064330</v>
      </c>
      <c r="D219" s="3" t="s">
        <v>266</v>
      </c>
    </row>
    <row r="220" spans="2:4" x14ac:dyDescent="0.2">
      <c r="B220" s="1" t="s">
        <v>191</v>
      </c>
      <c r="C220" s="1" t="str">
        <f>"5064332"</f>
        <v>5064332</v>
      </c>
      <c r="D220" s="3" t="s">
        <v>266</v>
      </c>
    </row>
    <row r="221" spans="2:4" x14ac:dyDescent="0.2">
      <c r="B221" s="1" t="s">
        <v>194</v>
      </c>
      <c r="C221" s="1" t="str">
        <f>"5064336"</f>
        <v>5064336</v>
      </c>
      <c r="D221" s="3" t="s">
        <v>266</v>
      </c>
    </row>
    <row r="222" spans="2:4" x14ac:dyDescent="0.2">
      <c r="B222" s="1" t="s">
        <v>303</v>
      </c>
      <c r="C222" s="1" t="str">
        <f>"5064339"</f>
        <v>5064339</v>
      </c>
      <c r="D222" s="3" t="s">
        <v>266</v>
      </c>
    </row>
    <row r="223" spans="2:4" x14ac:dyDescent="0.2">
      <c r="B223" s="1" t="s">
        <v>364</v>
      </c>
      <c r="C223" s="1">
        <v>5064348</v>
      </c>
      <c r="D223" s="3" t="s">
        <v>266</v>
      </c>
    </row>
    <row r="224" spans="2:4" x14ac:dyDescent="0.2">
      <c r="B224" s="135" t="s">
        <v>360</v>
      </c>
      <c r="C224" s="135">
        <v>5079</v>
      </c>
      <c r="D224" s="136" t="s">
        <v>267</v>
      </c>
    </row>
    <row r="225" spans="2:4" x14ac:dyDescent="0.2">
      <c r="B225" s="1" t="s">
        <v>16</v>
      </c>
      <c r="C225" s="1" t="str">
        <f>"5079228"</f>
        <v>5079228</v>
      </c>
      <c r="D225" s="3" t="s">
        <v>267</v>
      </c>
    </row>
    <row r="226" spans="2:4" x14ac:dyDescent="0.2">
      <c r="B226" s="1" t="s">
        <v>34</v>
      </c>
      <c r="C226" s="1" t="str">
        <f>"5079130"</f>
        <v>5079130</v>
      </c>
      <c r="D226" s="3" t="s">
        <v>267</v>
      </c>
    </row>
    <row r="227" spans="2:4" x14ac:dyDescent="0.2">
      <c r="B227" s="1" t="s">
        <v>256</v>
      </c>
      <c r="C227" s="1" t="str">
        <f>"5079165"</f>
        <v>5079165</v>
      </c>
      <c r="D227" s="3" t="s">
        <v>267</v>
      </c>
    </row>
    <row r="228" spans="2:4" x14ac:dyDescent="0.2">
      <c r="B228" s="1" t="s">
        <v>54</v>
      </c>
      <c r="C228" s="1" t="str">
        <f>"5079083"</f>
        <v>5079083</v>
      </c>
      <c r="D228" s="3" t="s">
        <v>267</v>
      </c>
    </row>
    <row r="229" spans="2:4" x14ac:dyDescent="0.2">
      <c r="B229" s="1" t="s">
        <v>257</v>
      </c>
      <c r="C229" s="1" t="str">
        <f>"5079201"</f>
        <v>5079201</v>
      </c>
      <c r="D229" s="3" t="s">
        <v>267</v>
      </c>
    </row>
    <row r="230" spans="2:4" x14ac:dyDescent="0.2">
      <c r="B230" s="1" t="s">
        <v>75</v>
      </c>
      <c r="C230" s="1" t="str">
        <f>"5079211"</f>
        <v>5079211</v>
      </c>
      <c r="D230" s="3" t="s">
        <v>267</v>
      </c>
    </row>
    <row r="231" spans="2:4" x14ac:dyDescent="0.2">
      <c r="B231" s="1" t="s">
        <v>87</v>
      </c>
      <c r="C231" s="1" t="str">
        <f>"5079180"</f>
        <v>5079180</v>
      </c>
      <c r="D231" s="3" t="s">
        <v>267</v>
      </c>
    </row>
    <row r="232" spans="2:4" x14ac:dyDescent="0.2">
      <c r="B232" s="1" t="s">
        <v>95</v>
      </c>
      <c r="C232" s="1" t="str">
        <f>"5079225"</f>
        <v>5079225</v>
      </c>
      <c r="D232" s="3" t="s">
        <v>267</v>
      </c>
    </row>
    <row r="233" spans="2:4" x14ac:dyDescent="0.2">
      <c r="B233" s="1" t="s">
        <v>106</v>
      </c>
      <c r="C233" s="1" t="str">
        <f>"5079235"</f>
        <v>5079235</v>
      </c>
      <c r="D233" s="3" t="s">
        <v>267</v>
      </c>
    </row>
    <row r="234" spans="2:4" x14ac:dyDescent="0.2">
      <c r="B234" s="1" t="s">
        <v>116</v>
      </c>
      <c r="C234" s="1" t="str">
        <f>"5079125"</f>
        <v>5079125</v>
      </c>
      <c r="D234" s="3" t="s">
        <v>267</v>
      </c>
    </row>
    <row r="235" spans="2:4" x14ac:dyDescent="0.2">
      <c r="B235" s="1" t="s">
        <v>124</v>
      </c>
      <c r="C235" s="1" t="str">
        <f>"5079059"</f>
        <v>5079059</v>
      </c>
      <c r="D235" s="3" t="s">
        <v>267</v>
      </c>
    </row>
    <row r="236" spans="2:4" x14ac:dyDescent="0.2">
      <c r="B236" s="1" t="s">
        <v>133</v>
      </c>
      <c r="C236" s="1" t="str">
        <f>"5079175"</f>
        <v>5079175</v>
      </c>
      <c r="D236" s="3" t="s">
        <v>267</v>
      </c>
    </row>
    <row r="237" spans="2:4" x14ac:dyDescent="0.2">
      <c r="B237" s="1" t="s">
        <v>141</v>
      </c>
      <c r="C237" s="1" t="str">
        <f>"5079056"</f>
        <v>5079056</v>
      </c>
      <c r="D237" s="3" t="s">
        <v>267</v>
      </c>
    </row>
    <row r="238" spans="2:4" x14ac:dyDescent="0.2">
      <c r="B238" s="142" t="s">
        <v>432</v>
      </c>
      <c r="C238" s="1" t="str">
        <f>"5079245"</f>
        <v>5079245</v>
      </c>
      <c r="D238" s="3" t="s">
        <v>267</v>
      </c>
    </row>
    <row r="239" spans="2:4" x14ac:dyDescent="0.2">
      <c r="B239" s="142" t="s">
        <v>461</v>
      </c>
      <c r="C239" s="1" t="str">
        <f>"5079246"</f>
        <v>5079246</v>
      </c>
      <c r="D239" s="3" t="s">
        <v>267</v>
      </c>
    </row>
    <row r="240" spans="2:4" x14ac:dyDescent="0.2">
      <c r="B240" s="142" t="s">
        <v>149</v>
      </c>
      <c r="C240" s="1" t="str">
        <f>"5079082"</f>
        <v>5079082</v>
      </c>
      <c r="D240" s="3" t="s">
        <v>267</v>
      </c>
    </row>
    <row r="241" spans="2:4" x14ac:dyDescent="0.2">
      <c r="B241" s="1" t="s">
        <v>156</v>
      </c>
      <c r="C241" s="1" t="str">
        <f>"5079117"</f>
        <v>5079117</v>
      </c>
      <c r="D241" s="3" t="s">
        <v>267</v>
      </c>
    </row>
    <row r="242" spans="2:4" x14ac:dyDescent="0.2">
      <c r="B242" s="1" t="s">
        <v>163</v>
      </c>
      <c r="C242" s="1" t="str">
        <f>"5079060"</f>
        <v>5079060</v>
      </c>
      <c r="D242" s="3" t="s">
        <v>267</v>
      </c>
    </row>
    <row r="243" spans="2:4" x14ac:dyDescent="0.2">
      <c r="B243" s="1" t="s">
        <v>169</v>
      </c>
      <c r="C243" s="1" t="str">
        <f>"5079222"</f>
        <v>5079222</v>
      </c>
      <c r="D243" s="3" t="s">
        <v>267</v>
      </c>
    </row>
    <row r="244" spans="2:4" x14ac:dyDescent="0.2">
      <c r="B244" s="135" t="s">
        <v>361</v>
      </c>
      <c r="C244" s="135">
        <v>5086</v>
      </c>
      <c r="D244" s="136" t="s">
        <v>268</v>
      </c>
    </row>
    <row r="245" spans="2:4" x14ac:dyDescent="0.2">
      <c r="B245" s="1" t="s">
        <v>377</v>
      </c>
      <c r="C245" s="1" t="s">
        <v>378</v>
      </c>
      <c r="D245" s="3" t="s">
        <v>268</v>
      </c>
    </row>
    <row r="246" spans="2:4" x14ac:dyDescent="0.2">
      <c r="B246" s="1" t="s">
        <v>369</v>
      </c>
      <c r="C246" s="1" t="s">
        <v>370</v>
      </c>
      <c r="D246" s="3" t="s">
        <v>268</v>
      </c>
    </row>
    <row r="247" spans="2:4" x14ac:dyDescent="0.2">
      <c r="B247" s="1" t="s">
        <v>17</v>
      </c>
      <c r="C247" s="1" t="str">
        <f>"5086155"</f>
        <v>5086155</v>
      </c>
      <c r="D247" s="3" t="s">
        <v>268</v>
      </c>
    </row>
    <row r="248" spans="2:4" x14ac:dyDescent="0.2">
      <c r="B248" s="1" t="s">
        <v>25</v>
      </c>
      <c r="C248" s="1" t="str">
        <f>"5086192"</f>
        <v>5086192</v>
      </c>
      <c r="D248" s="3" t="s">
        <v>268</v>
      </c>
    </row>
    <row r="249" spans="2:4" x14ac:dyDescent="0.2">
      <c r="B249" s="1" t="s">
        <v>35</v>
      </c>
      <c r="C249" s="1" t="str">
        <f>"5086154"</f>
        <v>5086154</v>
      </c>
      <c r="D249" s="3" t="s">
        <v>268</v>
      </c>
    </row>
    <row r="250" spans="2:4" x14ac:dyDescent="0.2">
      <c r="B250" s="1" t="s">
        <v>44</v>
      </c>
      <c r="C250" s="1" t="str">
        <f>"5086070"</f>
        <v>5086070</v>
      </c>
      <c r="D250" s="3" t="s">
        <v>268</v>
      </c>
    </row>
    <row r="251" spans="2:4" x14ac:dyDescent="0.2">
      <c r="B251" s="1" t="s">
        <v>65</v>
      </c>
      <c r="C251" s="1" t="str">
        <f>"5086063"</f>
        <v>5086063</v>
      </c>
      <c r="D251" s="3" t="s">
        <v>268</v>
      </c>
    </row>
    <row r="252" spans="2:4" x14ac:dyDescent="0.2">
      <c r="B252" s="1" t="s">
        <v>76</v>
      </c>
      <c r="C252" s="1" t="str">
        <f>"5086214"</f>
        <v>5086214</v>
      </c>
      <c r="D252" s="3" t="s">
        <v>268</v>
      </c>
    </row>
    <row r="253" spans="2:4" x14ac:dyDescent="0.2">
      <c r="B253" s="1" t="s">
        <v>88</v>
      </c>
      <c r="C253" s="1" t="str">
        <f>"5086066"</f>
        <v>5086066</v>
      </c>
      <c r="D253" s="3" t="s">
        <v>268</v>
      </c>
    </row>
    <row r="254" spans="2:4" x14ac:dyDescent="0.2">
      <c r="B254" s="1" t="s">
        <v>96</v>
      </c>
      <c r="C254" s="1" t="str">
        <f>"5086109"</f>
        <v>5086109</v>
      </c>
      <c r="D254" s="3" t="s">
        <v>268</v>
      </c>
    </row>
    <row r="255" spans="2:4" x14ac:dyDescent="0.2">
      <c r="B255" s="1" t="s">
        <v>446</v>
      </c>
      <c r="C255" s="1" t="str">
        <f>"5086241"</f>
        <v>5086241</v>
      </c>
      <c r="D255" s="3" t="s">
        <v>268</v>
      </c>
    </row>
    <row r="256" spans="2:4" x14ac:dyDescent="0.2">
      <c r="B256" s="1" t="s">
        <v>107</v>
      </c>
      <c r="C256" s="1" t="str">
        <f>"5086105"</f>
        <v>5086105</v>
      </c>
      <c r="D256" s="3" t="s">
        <v>268</v>
      </c>
    </row>
    <row r="257" spans="2:16" x14ac:dyDescent="0.2">
      <c r="B257" s="1" t="s">
        <v>117</v>
      </c>
      <c r="C257" s="1" t="str">
        <f>"5086103"</f>
        <v>5086103</v>
      </c>
      <c r="D257" s="3" t="s">
        <v>268</v>
      </c>
    </row>
    <row r="258" spans="2:16" x14ac:dyDescent="0.2">
      <c r="B258" s="1" t="s">
        <v>125</v>
      </c>
      <c r="C258" s="1" t="str">
        <f>"5086071"</f>
        <v>5086071</v>
      </c>
      <c r="D258" s="3" t="s">
        <v>268</v>
      </c>
    </row>
    <row r="259" spans="2:16" x14ac:dyDescent="0.2">
      <c r="B259" s="1" t="s">
        <v>134</v>
      </c>
      <c r="C259" s="1" t="str">
        <f>"5086065"</f>
        <v>5086065</v>
      </c>
      <c r="D259" s="3" t="s">
        <v>268</v>
      </c>
    </row>
    <row r="260" spans="2:16" x14ac:dyDescent="0.2">
      <c r="B260" s="1" t="s">
        <v>142</v>
      </c>
      <c r="C260" s="1" t="str">
        <f>"5086067"</f>
        <v>5086067</v>
      </c>
      <c r="D260" s="3" t="s">
        <v>268</v>
      </c>
    </row>
    <row r="261" spans="2:16" ht="10.15" customHeight="1" x14ac:dyDescent="0.2">
      <c r="B261" s="1" t="s">
        <v>150</v>
      </c>
      <c r="C261" s="1" t="str">
        <f>"5086068"</f>
        <v>5086068</v>
      </c>
      <c r="D261" s="3" t="s">
        <v>268</v>
      </c>
      <c r="P261" s="130"/>
    </row>
    <row r="262" spans="2:16" ht="10.15" customHeight="1" x14ac:dyDescent="0.2">
      <c r="B262" s="1" t="s">
        <v>157</v>
      </c>
      <c r="C262" s="1" t="str">
        <f>"5086210"</f>
        <v>5086210</v>
      </c>
      <c r="D262" s="3" t="s">
        <v>268</v>
      </c>
      <c r="P262" s="130"/>
    </row>
    <row r="263" spans="2:16" ht="10.15" customHeight="1" x14ac:dyDescent="0.2">
      <c r="B263" s="1" t="s">
        <v>164</v>
      </c>
      <c r="C263" s="1" t="str">
        <f>"5086234"</f>
        <v>5086234</v>
      </c>
      <c r="D263" s="3" t="s">
        <v>268</v>
      </c>
      <c r="P263" s="130"/>
    </row>
    <row r="264" spans="2:16" x14ac:dyDescent="0.2">
      <c r="B264" s="1" t="s">
        <v>445</v>
      </c>
      <c r="C264" s="1" t="str">
        <f>"5086240"</f>
        <v>5086240</v>
      </c>
      <c r="D264" s="3" t="s">
        <v>268</v>
      </c>
    </row>
    <row r="265" spans="2:16" x14ac:dyDescent="0.2">
      <c r="B265" s="132" t="s">
        <v>362</v>
      </c>
      <c r="C265" s="132">
        <v>5087</v>
      </c>
      <c r="D265" s="133" t="s">
        <v>269</v>
      </c>
    </row>
    <row r="266" spans="2:16" x14ac:dyDescent="0.2">
      <c r="B266" s="1" t="s">
        <v>18</v>
      </c>
      <c r="C266" s="1" t="str">
        <f>"5087031"</f>
        <v>5087031</v>
      </c>
      <c r="D266" s="3" t="s">
        <v>269</v>
      </c>
    </row>
    <row r="267" spans="2:16" x14ac:dyDescent="0.2">
      <c r="B267" s="1" t="s">
        <v>36</v>
      </c>
      <c r="C267" s="1" t="str">
        <f>"5087045"</f>
        <v>5087045</v>
      </c>
      <c r="D267" s="3" t="s">
        <v>269</v>
      </c>
    </row>
    <row r="268" spans="2:16" x14ac:dyDescent="0.2">
      <c r="B268" s="142" t="s">
        <v>45</v>
      </c>
      <c r="C268" s="1" t="str">
        <f>"5087042"</f>
        <v>5087042</v>
      </c>
      <c r="D268" s="3" t="s">
        <v>269</v>
      </c>
    </row>
    <row r="269" spans="2:16" x14ac:dyDescent="0.2">
      <c r="B269" s="142" t="s">
        <v>55</v>
      </c>
      <c r="C269" s="1" t="str">
        <f>"5087001"</f>
        <v>5087001</v>
      </c>
      <c r="D269" s="3" t="s">
        <v>269</v>
      </c>
    </row>
    <row r="270" spans="2:16" x14ac:dyDescent="0.2">
      <c r="B270" s="142" t="s">
        <v>458</v>
      </c>
      <c r="C270" s="1" t="str">
        <f>"5087018"</f>
        <v>5087018</v>
      </c>
      <c r="D270" s="3" t="s">
        <v>269</v>
      </c>
      <c r="H270" s="1"/>
    </row>
    <row r="271" spans="2:16" x14ac:dyDescent="0.2">
      <c r="B271" s="142" t="s">
        <v>66</v>
      </c>
      <c r="C271" s="1" t="str">
        <f>"5087044"</f>
        <v>5087044</v>
      </c>
      <c r="D271" s="3" t="s">
        <v>269</v>
      </c>
    </row>
    <row r="272" spans="2:16" x14ac:dyDescent="0.2">
      <c r="B272" s="142" t="s">
        <v>77</v>
      </c>
      <c r="C272" s="1" t="str">
        <f>"5087054"</f>
        <v>5087054</v>
      </c>
      <c r="D272" s="3" t="s">
        <v>269</v>
      </c>
    </row>
    <row r="273" spans="2:4" x14ac:dyDescent="0.2">
      <c r="B273" s="147" t="s">
        <v>89</v>
      </c>
      <c r="C273" s="1" t="str">
        <f>"5087038"</f>
        <v>5087038</v>
      </c>
      <c r="D273" s="3" t="s">
        <v>269</v>
      </c>
    </row>
    <row r="274" spans="2:4" x14ac:dyDescent="0.2">
      <c r="B274" s="142" t="s">
        <v>97</v>
      </c>
      <c r="C274" s="1" t="str">
        <f>"5087003"</f>
        <v>5087003</v>
      </c>
      <c r="D274" s="3" t="s">
        <v>269</v>
      </c>
    </row>
    <row r="275" spans="2:4" x14ac:dyDescent="0.2">
      <c r="B275" s="142" t="s">
        <v>108</v>
      </c>
      <c r="C275" s="1" t="str">
        <f>"5087029"</f>
        <v>5087029</v>
      </c>
      <c r="D275" s="3" t="s">
        <v>269</v>
      </c>
    </row>
    <row r="276" spans="2:4" x14ac:dyDescent="0.2">
      <c r="B276" s="142" t="s">
        <v>448</v>
      </c>
      <c r="C276" s="1" t="str">
        <f>"5087017"</f>
        <v>5087017</v>
      </c>
      <c r="D276" s="3" t="s">
        <v>269</v>
      </c>
    </row>
    <row r="277" spans="2:4" x14ac:dyDescent="0.2">
      <c r="B277" s="142" t="s">
        <v>118</v>
      </c>
      <c r="C277" s="1" t="str">
        <f>"5087019"</f>
        <v>5087019</v>
      </c>
      <c r="D277" s="3" t="s">
        <v>269</v>
      </c>
    </row>
    <row r="278" spans="2:4" x14ac:dyDescent="0.2">
      <c r="B278" s="142" t="s">
        <v>428</v>
      </c>
      <c r="C278" s="1" t="str">
        <f>"5087016"</f>
        <v>5087016</v>
      </c>
      <c r="D278" s="1" t="s">
        <v>269</v>
      </c>
    </row>
    <row r="279" spans="2:4" x14ac:dyDescent="0.2">
      <c r="B279" s="142" t="s">
        <v>126</v>
      </c>
      <c r="C279" s="1" t="str">
        <f>"5087041"</f>
        <v>5087041</v>
      </c>
      <c r="D279" s="3" t="s">
        <v>269</v>
      </c>
    </row>
    <row r="280" spans="2:4" x14ac:dyDescent="0.2">
      <c r="B280" s="147" t="s">
        <v>135</v>
      </c>
      <c r="C280" s="1" t="str">
        <f>"5087009"</f>
        <v>5087009</v>
      </c>
      <c r="D280" s="3" t="s">
        <v>269</v>
      </c>
    </row>
    <row r="281" spans="2:4" x14ac:dyDescent="0.2">
      <c r="B281" s="142" t="s">
        <v>143</v>
      </c>
      <c r="C281" s="1" t="str">
        <f>"5087005"</f>
        <v>5087005</v>
      </c>
      <c r="D281" s="3" t="s">
        <v>269</v>
      </c>
    </row>
    <row r="282" spans="2:4" x14ac:dyDescent="0.2">
      <c r="B282" s="142" t="s">
        <v>151</v>
      </c>
      <c r="C282" s="1" t="str">
        <f>"5087043"</f>
        <v>5087043</v>
      </c>
      <c r="D282" s="3" t="s">
        <v>269</v>
      </c>
    </row>
    <row r="283" spans="2:4" x14ac:dyDescent="0.2">
      <c r="B283" s="142" t="s">
        <v>158</v>
      </c>
      <c r="C283" s="1" t="str">
        <f>"5087039"</f>
        <v>5087039</v>
      </c>
      <c r="D283" s="3" t="s">
        <v>269</v>
      </c>
    </row>
    <row r="284" spans="2:4" x14ac:dyDescent="0.2">
      <c r="B284" s="146" t="s">
        <v>449</v>
      </c>
      <c r="C284" s="1" t="str">
        <f>"0002936"</f>
        <v>0002936</v>
      </c>
      <c r="D284" s="1" t="s">
        <v>269</v>
      </c>
    </row>
    <row r="285" spans="2:4" x14ac:dyDescent="0.2">
      <c r="B285" s="147" t="s">
        <v>165</v>
      </c>
      <c r="C285" s="1" t="str">
        <f>"5087048"</f>
        <v>5087048</v>
      </c>
      <c r="D285" s="3" t="s">
        <v>269</v>
      </c>
    </row>
    <row r="286" spans="2:4" x14ac:dyDescent="0.2">
      <c r="B286" s="142" t="s">
        <v>444</v>
      </c>
      <c r="C286" s="1" t="str">
        <f>"5087006"</f>
        <v>5087006</v>
      </c>
      <c r="D286" s="3" t="s">
        <v>269</v>
      </c>
    </row>
    <row r="287" spans="2:4" x14ac:dyDescent="0.2">
      <c r="B287" s="142" t="s">
        <v>429</v>
      </c>
      <c r="C287" s="1" t="str">
        <f>"5087014"</f>
        <v>5087014</v>
      </c>
      <c r="D287" s="3" t="s">
        <v>269</v>
      </c>
    </row>
    <row r="288" spans="2:4" x14ac:dyDescent="0.2">
      <c r="B288" s="142" t="s">
        <v>187</v>
      </c>
      <c r="C288" s="1" t="str">
        <f>"5087055"</f>
        <v>5087055</v>
      </c>
      <c r="D288" s="3" t="s">
        <v>269</v>
      </c>
    </row>
    <row r="289" spans="2:4" x14ac:dyDescent="0.2">
      <c r="B289" s="147" t="s">
        <v>175</v>
      </c>
      <c r="C289" s="1" t="str">
        <f>"5087040"</f>
        <v>5087040</v>
      </c>
      <c r="D289" s="3" t="s">
        <v>269</v>
      </c>
    </row>
    <row r="290" spans="2:4" x14ac:dyDescent="0.2">
      <c r="B290" s="142"/>
    </row>
  </sheetData>
  <phoneticPr fontId="4" type="noConversion"/>
  <hyperlinks>
    <hyperlink ref="B129" r:id="rId1" display="javascript:OpenClub('gridStructure_GridKey','9deb10c4-070f-46bf-bfb7-17a35cfc201d','GENE');" xr:uid="{90732B85-5C36-4442-8F71-7D1140F29091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1ECEA-D95C-4003-9AEE-9B176164FE49}">
  <sheetPr codeName="Feuil3">
    <pageSetUpPr fitToPage="1"/>
  </sheetPr>
  <dimension ref="B2:AG173"/>
  <sheetViews>
    <sheetView topLeftCell="F30" workbookViewId="0">
      <selection activeCell="M35" sqref="M35"/>
    </sheetView>
  </sheetViews>
  <sheetFormatPr baseColWidth="10" defaultColWidth="11.42578125" defaultRowHeight="11.25" x14ac:dyDescent="0.2"/>
  <cols>
    <col min="1" max="1" width="11.42578125" style="1"/>
    <col min="2" max="2" width="20.7109375" style="1" customWidth="1"/>
    <col min="3" max="3" width="25.42578125" style="1" customWidth="1"/>
    <col min="4" max="22" width="20.7109375" style="1" customWidth="1"/>
    <col min="23" max="23" width="4.7109375" style="1" customWidth="1"/>
    <col min="24" max="24" width="10.7109375" style="1" customWidth="1"/>
    <col min="25" max="28" width="5.7109375" style="5" customWidth="1"/>
    <col min="29" max="29" width="4.7109375" style="1" customWidth="1"/>
    <col min="30" max="30" width="8.7109375" style="1" customWidth="1"/>
    <col min="31" max="31" width="5.7109375" style="1" customWidth="1"/>
    <col min="32" max="32" width="4.7109375" style="1" customWidth="1"/>
    <col min="33" max="33" width="10.7109375" style="1" customWidth="1"/>
    <col min="34" max="34" width="15.7109375" style="1" customWidth="1"/>
    <col min="35" max="35" width="4.7109375" style="1" customWidth="1"/>
    <col min="36" max="36" width="6.7109375" style="1" customWidth="1"/>
    <col min="37" max="37" width="15.7109375" style="1" customWidth="1"/>
    <col min="38" max="38" width="4.7109375" style="1" customWidth="1"/>
    <col min="39" max="39" width="6.7109375" style="1" customWidth="1"/>
    <col min="40" max="40" width="15.7109375" style="1" customWidth="1"/>
    <col min="41" max="41" width="4.7109375" style="1" customWidth="1"/>
    <col min="42" max="42" width="6.7109375" style="1" customWidth="1"/>
    <col min="43" max="43" width="15.7109375" style="1" customWidth="1"/>
    <col min="44" max="44" width="4.7109375" style="1" customWidth="1"/>
    <col min="45" max="45" width="6.7109375" style="1" customWidth="1"/>
    <col min="46" max="46" width="15.7109375" style="1" customWidth="1"/>
    <col min="47" max="47" width="4.7109375" style="1" customWidth="1"/>
    <col min="48" max="48" width="6.7109375" style="1" customWidth="1"/>
    <col min="49" max="49" width="15.7109375" style="1" customWidth="1"/>
    <col min="50" max="50" width="4.7109375" style="1" customWidth="1"/>
    <col min="51" max="51" width="6.7109375" style="1" customWidth="1"/>
    <col min="52" max="52" width="11.42578125" style="1"/>
    <col min="53" max="53" width="4.7109375" style="1" customWidth="1"/>
    <col min="54" max="54" width="6.7109375" style="1" customWidth="1"/>
    <col min="55" max="55" width="15.7109375" style="1" customWidth="1"/>
    <col min="56" max="16384" width="11.42578125" style="1"/>
  </cols>
  <sheetData>
    <row r="2" spans="2:7" x14ac:dyDescent="0.2">
      <c r="B2" s="2" t="s">
        <v>310</v>
      </c>
      <c r="C2" s="2" t="s">
        <v>311</v>
      </c>
      <c r="D2" s="2" t="s">
        <v>327</v>
      </c>
      <c r="E2" s="2" t="s">
        <v>347</v>
      </c>
      <c r="F2" s="2" t="s">
        <v>317</v>
      </c>
      <c r="G2" s="2" t="s">
        <v>312</v>
      </c>
    </row>
    <row r="3" spans="2:7" x14ac:dyDescent="0.2">
      <c r="B3" s="1" t="s">
        <v>330</v>
      </c>
      <c r="C3" s="1" t="s">
        <v>397</v>
      </c>
      <c r="D3" s="1" t="s">
        <v>418</v>
      </c>
      <c r="E3" s="1" t="s">
        <v>322</v>
      </c>
      <c r="F3" s="1" t="s">
        <v>322</v>
      </c>
      <c r="G3" s="1" t="s">
        <v>323</v>
      </c>
    </row>
    <row r="4" spans="2:7" x14ac:dyDescent="0.2">
      <c r="B4" s="1" t="s">
        <v>397</v>
      </c>
      <c r="C4" s="1" t="s">
        <v>313</v>
      </c>
      <c r="D4" s="1" t="s">
        <v>397</v>
      </c>
      <c r="E4" s="1" t="s">
        <v>415</v>
      </c>
      <c r="G4" s="1" t="s">
        <v>324</v>
      </c>
    </row>
    <row r="5" spans="2:7" x14ac:dyDescent="0.2">
      <c r="B5" s="1" t="s">
        <v>422</v>
      </c>
      <c r="C5" s="1" t="s">
        <v>314</v>
      </c>
      <c r="D5" s="1" t="s">
        <v>416</v>
      </c>
      <c r="G5" s="1" t="s">
        <v>414</v>
      </c>
    </row>
    <row r="6" spans="2:7" x14ac:dyDescent="0.2">
      <c r="B6" s="1" t="s">
        <v>423</v>
      </c>
      <c r="C6" s="1" t="s">
        <v>315</v>
      </c>
      <c r="D6" s="1" t="s">
        <v>417</v>
      </c>
    </row>
    <row r="7" spans="2:7" x14ac:dyDescent="0.2">
      <c r="B7" s="1" t="s">
        <v>424</v>
      </c>
      <c r="C7" s="1" t="s">
        <v>316</v>
      </c>
      <c r="D7" s="1" t="s">
        <v>328</v>
      </c>
    </row>
    <row r="8" spans="2:7" x14ac:dyDescent="0.2">
      <c r="B8" s="1" t="s">
        <v>425</v>
      </c>
      <c r="C8" s="1" t="s">
        <v>318</v>
      </c>
    </row>
    <row r="9" spans="2:7" x14ac:dyDescent="0.2">
      <c r="B9" s="1" t="s">
        <v>398</v>
      </c>
      <c r="C9" s="1" t="s">
        <v>319</v>
      </c>
    </row>
    <row r="10" spans="2:7" x14ac:dyDescent="0.2">
      <c r="B10" s="1" t="s">
        <v>399</v>
      </c>
      <c r="C10" s="1" t="s">
        <v>412</v>
      </c>
    </row>
    <row r="11" spans="2:7" x14ac:dyDescent="0.2">
      <c r="B11" s="1" t="s">
        <v>400</v>
      </c>
      <c r="C11" s="1" t="s">
        <v>411</v>
      </c>
    </row>
    <row r="12" spans="2:7" x14ac:dyDescent="0.2">
      <c r="B12" s="1" t="s">
        <v>401</v>
      </c>
      <c r="C12" s="1" t="s">
        <v>413</v>
      </c>
    </row>
    <row r="13" spans="2:7" x14ac:dyDescent="0.2">
      <c r="B13" s="1" t="s">
        <v>402</v>
      </c>
      <c r="C13" s="1" t="s">
        <v>320</v>
      </c>
    </row>
    <row r="14" spans="2:7" x14ac:dyDescent="0.2">
      <c r="B14" s="1" t="s">
        <v>324</v>
      </c>
      <c r="C14" s="1" t="s">
        <v>321</v>
      </c>
    </row>
    <row r="15" spans="2:7" x14ac:dyDescent="0.2">
      <c r="B15" s="1" t="s">
        <v>403</v>
      </c>
      <c r="C15" s="1" t="s">
        <v>410</v>
      </c>
    </row>
    <row r="16" spans="2:7" x14ac:dyDescent="0.2">
      <c r="B16" s="1" t="s">
        <v>404</v>
      </c>
    </row>
    <row r="17" spans="2:33" x14ac:dyDescent="0.2">
      <c r="B17" s="1" t="s">
        <v>405</v>
      </c>
    </row>
    <row r="18" spans="2:33" x14ac:dyDescent="0.2">
      <c r="B18" s="1" t="s">
        <v>325</v>
      </c>
    </row>
    <row r="19" spans="2:33" x14ac:dyDescent="0.2">
      <c r="B19" s="1" t="s">
        <v>406</v>
      </c>
    </row>
    <row r="20" spans="2:33" x14ac:dyDescent="0.2">
      <c r="B20" s="1" t="s">
        <v>326</v>
      </c>
    </row>
    <row r="21" spans="2:33" x14ac:dyDescent="0.2">
      <c r="B21" s="1" t="s">
        <v>407</v>
      </c>
    </row>
    <row r="22" spans="2:33" x14ac:dyDescent="0.2">
      <c r="B22" s="1" t="s">
        <v>329</v>
      </c>
    </row>
    <row r="23" spans="2:33" x14ac:dyDescent="0.2">
      <c r="B23" s="1" t="s">
        <v>408</v>
      </c>
    </row>
    <row r="24" spans="2:33" x14ac:dyDescent="0.2">
      <c r="B24" s="1" t="s">
        <v>409</v>
      </c>
    </row>
    <row r="30" spans="2:33" s="2" customFormat="1" x14ac:dyDescent="0.2">
      <c r="B30" s="2" t="s">
        <v>258</v>
      </c>
      <c r="C30" s="2" t="s">
        <v>259</v>
      </c>
      <c r="D30" s="2" t="s">
        <v>260</v>
      </c>
      <c r="E30" s="2" t="s">
        <v>261</v>
      </c>
      <c r="F30" s="2" t="s">
        <v>262</v>
      </c>
      <c r="G30" s="2" t="s">
        <v>263</v>
      </c>
      <c r="H30" s="2" t="s">
        <v>264</v>
      </c>
      <c r="I30" s="2" t="s">
        <v>265</v>
      </c>
      <c r="J30" s="2" t="s">
        <v>266</v>
      </c>
      <c r="K30" s="2" t="s">
        <v>267</v>
      </c>
      <c r="L30" s="2" t="s">
        <v>268</v>
      </c>
      <c r="M30" s="2" t="s">
        <v>269</v>
      </c>
      <c r="X30" s="2" t="s">
        <v>0</v>
      </c>
      <c r="Y30" s="5"/>
      <c r="Z30" s="5"/>
      <c r="AA30" s="5"/>
      <c r="AB30" s="5"/>
      <c r="AD30" s="2" t="s">
        <v>2</v>
      </c>
      <c r="AG30" s="10" t="s">
        <v>1</v>
      </c>
    </row>
    <row r="31" spans="2:33" x14ac:dyDescent="0.2">
      <c r="B31" s="142" t="s">
        <v>11</v>
      </c>
      <c r="C31" s="142" t="s">
        <v>12</v>
      </c>
      <c r="D31" s="142" t="s">
        <v>386</v>
      </c>
      <c r="E31" s="142" t="s">
        <v>228</v>
      </c>
      <c r="F31" s="142" t="s">
        <v>23</v>
      </c>
      <c r="G31" s="1" t="s">
        <v>13</v>
      </c>
      <c r="H31" s="1" t="s">
        <v>248</v>
      </c>
      <c r="I31" s="1" t="s">
        <v>249</v>
      </c>
      <c r="J31" s="1" t="s">
        <v>15</v>
      </c>
      <c r="K31" s="1" t="s">
        <v>16</v>
      </c>
      <c r="L31" s="1" t="s">
        <v>17</v>
      </c>
      <c r="M31" s="1" t="s">
        <v>18</v>
      </c>
      <c r="N31" s="3"/>
      <c r="O31" s="3"/>
      <c r="P31" s="3"/>
      <c r="Q31" s="3"/>
      <c r="R31" s="3"/>
      <c r="S31" s="3"/>
      <c r="T31" s="3"/>
      <c r="U31" s="3"/>
      <c r="V31" s="3"/>
      <c r="X31" s="4" t="s">
        <v>7</v>
      </c>
      <c r="Y31" s="6" t="s">
        <v>3</v>
      </c>
      <c r="Z31" s="6" t="s">
        <v>4</v>
      </c>
      <c r="AA31" s="6" t="s">
        <v>5</v>
      </c>
      <c r="AB31" s="6" t="s">
        <v>6</v>
      </c>
      <c r="AD31" s="1" t="s">
        <v>9</v>
      </c>
      <c r="AE31" s="1">
        <v>51</v>
      </c>
      <c r="AG31" s="10" t="e">
        <f ca="1">AG35&amp;AG36&amp;AG37&amp;AG39&amp;AG38</f>
        <v>#REF!</v>
      </c>
    </row>
    <row r="32" spans="2:33" x14ac:dyDescent="0.2">
      <c r="B32" s="142" t="s">
        <v>21</v>
      </c>
      <c r="C32" s="142" t="s">
        <v>22</v>
      </c>
      <c r="D32" s="142" t="s">
        <v>419</v>
      </c>
      <c r="E32" s="142" t="s">
        <v>229</v>
      </c>
      <c r="F32" s="142" t="s">
        <v>30</v>
      </c>
      <c r="G32" s="140" t="s">
        <v>465</v>
      </c>
      <c r="H32" s="1" t="s">
        <v>14</v>
      </c>
      <c r="I32" s="1" t="s">
        <v>430</v>
      </c>
      <c r="J32" s="1" t="s">
        <v>254</v>
      </c>
      <c r="K32" s="1" t="s">
        <v>34</v>
      </c>
      <c r="L32" s="1" t="s">
        <v>25</v>
      </c>
      <c r="M32" s="1" t="s">
        <v>36</v>
      </c>
      <c r="X32" s="4"/>
      <c r="Y32" s="6"/>
      <c r="Z32" s="6"/>
      <c r="AA32" s="6"/>
      <c r="AB32" s="6"/>
      <c r="AD32" s="1" t="s">
        <v>19</v>
      </c>
      <c r="AE32" s="1">
        <v>35</v>
      </c>
      <c r="AG32" s="8"/>
    </row>
    <row r="33" spans="2:33" x14ac:dyDescent="0.2">
      <c r="B33" s="142" t="s">
        <v>28</v>
      </c>
      <c r="C33" s="142" t="s">
        <v>39</v>
      </c>
      <c r="D33" s="142" t="s">
        <v>462</v>
      </c>
      <c r="E33" s="142" t="s">
        <v>230</v>
      </c>
      <c r="F33" s="142" t="s">
        <v>40</v>
      </c>
      <c r="G33" s="142" t="s">
        <v>31</v>
      </c>
      <c r="H33" s="142" t="s">
        <v>24</v>
      </c>
      <c r="I33" s="142" t="s">
        <v>43</v>
      </c>
      <c r="J33" s="1" t="s">
        <v>33</v>
      </c>
      <c r="K33" s="1" t="s">
        <v>256</v>
      </c>
      <c r="L33" s="1" t="s">
        <v>35</v>
      </c>
      <c r="M33" s="1" t="s">
        <v>45</v>
      </c>
      <c r="X33" s="1" t="s">
        <v>20</v>
      </c>
      <c r="Y33" s="6">
        <v>200</v>
      </c>
      <c r="Z33" s="5">
        <v>11</v>
      </c>
      <c r="AA33" s="5">
        <f t="shared" ref="AA33:AA55" si="0">Y33-Z33</f>
        <v>189</v>
      </c>
      <c r="AB33" s="5">
        <v>2</v>
      </c>
      <c r="AD33" s="1" t="s">
        <v>26</v>
      </c>
      <c r="AE33" s="1">
        <v>28</v>
      </c>
      <c r="AG33" s="9">
        <f ca="1">TODAY()</f>
        <v>45642</v>
      </c>
    </row>
    <row r="34" spans="2:33" x14ac:dyDescent="0.2">
      <c r="B34" s="142" t="s">
        <v>38</v>
      </c>
      <c r="C34" s="142" t="s">
        <v>222</v>
      </c>
      <c r="D34" s="142" t="s">
        <v>354</v>
      </c>
      <c r="E34" s="142" t="s">
        <v>231</v>
      </c>
      <c r="F34" s="142" t="s">
        <v>356</v>
      </c>
      <c r="G34" s="142" t="s">
        <v>365</v>
      </c>
      <c r="H34" s="142" t="s">
        <v>357</v>
      </c>
      <c r="I34" s="142" t="s">
        <v>358</v>
      </c>
      <c r="J34" s="1" t="s">
        <v>255</v>
      </c>
      <c r="K34" s="1" t="s">
        <v>54</v>
      </c>
      <c r="L34" s="1" t="s">
        <v>44</v>
      </c>
      <c r="M34" s="1" t="s">
        <v>55</v>
      </c>
      <c r="X34" s="1" t="s">
        <v>27</v>
      </c>
      <c r="Y34" s="6">
        <v>160</v>
      </c>
      <c r="Z34" s="5">
        <v>11</v>
      </c>
      <c r="AA34" s="5">
        <f t="shared" si="0"/>
        <v>149</v>
      </c>
      <c r="AB34" s="5">
        <v>2</v>
      </c>
      <c r="AG34" s="8">
        <f ca="1">YEAR(AG33)</f>
        <v>2024</v>
      </c>
    </row>
    <row r="35" spans="2:33" x14ac:dyDescent="0.2">
      <c r="B35" s="142" t="s">
        <v>47</v>
      </c>
      <c r="C35" s="142" t="s">
        <v>48</v>
      </c>
      <c r="D35" s="142" t="s">
        <v>227</v>
      </c>
      <c r="E35" s="142" t="s">
        <v>355</v>
      </c>
      <c r="F35" s="142" t="s">
        <v>443</v>
      </c>
      <c r="G35" s="142" t="s">
        <v>41</v>
      </c>
      <c r="H35" s="142" t="s">
        <v>455</v>
      </c>
      <c r="I35" s="142" t="s">
        <v>52</v>
      </c>
      <c r="J35" s="1" t="s">
        <v>53</v>
      </c>
      <c r="K35" s="1" t="s">
        <v>257</v>
      </c>
      <c r="L35" s="1" t="s">
        <v>361</v>
      </c>
      <c r="M35" s="141" t="s">
        <v>458</v>
      </c>
      <c r="X35" s="1" t="s">
        <v>37</v>
      </c>
      <c r="Y35" s="6">
        <v>120</v>
      </c>
      <c r="Z35" s="5">
        <v>11</v>
      </c>
      <c r="AA35" s="5">
        <f t="shared" si="0"/>
        <v>109</v>
      </c>
      <c r="AB35" s="5">
        <v>2</v>
      </c>
      <c r="AG35" s="8" t="str">
        <f ca="1">RIGHT(AG34,1)</f>
        <v>4</v>
      </c>
    </row>
    <row r="36" spans="2:33" x14ac:dyDescent="0.2">
      <c r="B36" s="142" t="s">
        <v>57</v>
      </c>
      <c r="C36" s="142" t="s">
        <v>58</v>
      </c>
      <c r="D36" s="142" t="s">
        <v>29</v>
      </c>
      <c r="E36" s="142" t="s">
        <v>49</v>
      </c>
      <c r="F36" s="142" t="s">
        <v>70</v>
      </c>
      <c r="G36" s="142" t="s">
        <v>50</v>
      </c>
      <c r="H36" s="142" t="s">
        <v>32</v>
      </c>
      <c r="I36" s="142" t="s">
        <v>63</v>
      </c>
      <c r="J36" s="142" t="s">
        <v>64</v>
      </c>
      <c r="K36" s="142" t="s">
        <v>360</v>
      </c>
      <c r="L36" s="142" t="s">
        <v>65</v>
      </c>
      <c r="M36" s="142" t="s">
        <v>66</v>
      </c>
      <c r="X36" s="1" t="s">
        <v>10</v>
      </c>
      <c r="Y36" s="6">
        <v>87</v>
      </c>
      <c r="Z36" s="5">
        <v>11</v>
      </c>
      <c r="AA36" s="5">
        <f t="shared" si="0"/>
        <v>76</v>
      </c>
      <c r="AB36" s="5">
        <v>2</v>
      </c>
      <c r="AG36" s="8">
        <f ca="1">MONTH(AG33)</f>
        <v>12</v>
      </c>
    </row>
    <row r="37" spans="2:33" x14ac:dyDescent="0.2">
      <c r="B37" s="142" t="s">
        <v>68</v>
      </c>
      <c r="C37" s="142" t="s">
        <v>69</v>
      </c>
      <c r="D37" s="142" t="s">
        <v>367</v>
      </c>
      <c r="E37" s="142" t="s">
        <v>60</v>
      </c>
      <c r="F37" s="142" t="s">
        <v>82</v>
      </c>
      <c r="G37" s="142" t="s">
        <v>61</v>
      </c>
      <c r="H37" s="142" t="s">
        <v>42</v>
      </c>
      <c r="I37" s="142" t="s">
        <v>73</v>
      </c>
      <c r="J37" s="142" t="s">
        <v>359</v>
      </c>
      <c r="K37" s="142" t="s">
        <v>75</v>
      </c>
      <c r="L37" s="142" t="s">
        <v>76</v>
      </c>
      <c r="M37" s="142" t="s">
        <v>77</v>
      </c>
      <c r="X37" s="1" t="s">
        <v>46</v>
      </c>
      <c r="Y37" s="6">
        <v>108</v>
      </c>
      <c r="Z37" s="5">
        <v>11</v>
      </c>
      <c r="AA37" s="5">
        <f t="shared" si="0"/>
        <v>97</v>
      </c>
      <c r="AB37" s="5">
        <v>2</v>
      </c>
      <c r="AG37" s="8">
        <f ca="1">DAY(AG33)</f>
        <v>16</v>
      </c>
    </row>
    <row r="38" spans="2:33" x14ac:dyDescent="0.2">
      <c r="B38" s="142" t="s">
        <v>79</v>
      </c>
      <c r="C38" s="142" t="s">
        <v>80</v>
      </c>
      <c r="D38" s="142" t="s">
        <v>366</v>
      </c>
      <c r="E38" s="142" t="s">
        <v>232</v>
      </c>
      <c r="F38" s="142" t="s">
        <v>93</v>
      </c>
      <c r="G38" s="139" t="s">
        <v>464</v>
      </c>
      <c r="H38" s="142" t="s">
        <v>456</v>
      </c>
      <c r="I38" s="142" t="s">
        <v>85</v>
      </c>
      <c r="J38" s="142" t="s">
        <v>379</v>
      </c>
      <c r="K38" s="142" t="s">
        <v>87</v>
      </c>
      <c r="L38" s="142" t="s">
        <v>369</v>
      </c>
      <c r="M38" s="142" t="s">
        <v>97</v>
      </c>
      <c r="X38" s="1" t="s">
        <v>56</v>
      </c>
      <c r="Y38" s="6">
        <v>69</v>
      </c>
      <c r="Z38" s="5">
        <v>11</v>
      </c>
      <c r="AA38" s="5">
        <f t="shared" si="0"/>
        <v>58</v>
      </c>
      <c r="AB38" s="5">
        <v>2</v>
      </c>
      <c r="AG38" s="8">
        <f ca="1">RANDBETWEEN(1,9)</f>
        <v>4</v>
      </c>
    </row>
    <row r="39" spans="2:33" x14ac:dyDescent="0.2">
      <c r="B39" s="142" t="s">
        <v>352</v>
      </c>
      <c r="C39" s="142" t="s">
        <v>91</v>
      </c>
      <c r="D39" s="142" t="s">
        <v>59</v>
      </c>
      <c r="E39" s="143" t="s">
        <v>421</v>
      </c>
      <c r="F39" s="142" t="s">
        <v>101</v>
      </c>
      <c r="G39" s="142" t="s">
        <v>71</v>
      </c>
      <c r="H39" s="142" t="s">
        <v>51</v>
      </c>
      <c r="I39" s="142" t="s">
        <v>250</v>
      </c>
      <c r="J39" s="142" t="s">
        <v>74</v>
      </c>
      <c r="K39" s="142" t="s">
        <v>95</v>
      </c>
      <c r="L39" s="142" t="s">
        <v>377</v>
      </c>
      <c r="M39" s="142" t="s">
        <v>362</v>
      </c>
      <c r="X39" s="1" t="s">
        <v>273</v>
      </c>
      <c r="Y39" s="6">
        <v>56</v>
      </c>
      <c r="Z39" s="5">
        <v>11</v>
      </c>
      <c r="AA39" s="5">
        <f t="shared" si="0"/>
        <v>45</v>
      </c>
      <c r="AB39" s="5">
        <v>2</v>
      </c>
      <c r="AG39" s="8" t="e">
        <f>RIGHT(#REF!,3)</f>
        <v>#REF!</v>
      </c>
    </row>
    <row r="40" spans="2:33" x14ac:dyDescent="0.2">
      <c r="B40" s="142" t="s">
        <v>99</v>
      </c>
      <c r="C40" s="142" t="s">
        <v>100</v>
      </c>
      <c r="D40" s="142" t="s">
        <v>453</v>
      </c>
      <c r="E40" s="142" t="s">
        <v>233</v>
      </c>
      <c r="F40" s="144" t="s">
        <v>420</v>
      </c>
      <c r="G40" s="142" t="s">
        <v>83</v>
      </c>
      <c r="H40" s="142" t="s">
        <v>62</v>
      </c>
      <c r="I40" s="142" t="s">
        <v>104</v>
      </c>
      <c r="J40" s="142" t="s">
        <v>86</v>
      </c>
      <c r="K40" s="142" t="s">
        <v>106</v>
      </c>
      <c r="L40" s="142" t="s">
        <v>88</v>
      </c>
      <c r="M40" s="142" t="s">
        <v>108</v>
      </c>
      <c r="X40" s="1" t="s">
        <v>136</v>
      </c>
      <c r="Y40" s="6">
        <v>56</v>
      </c>
      <c r="Z40" s="5">
        <v>11</v>
      </c>
      <c r="AA40" s="5">
        <f t="shared" si="0"/>
        <v>45</v>
      </c>
      <c r="AB40" s="5">
        <v>2</v>
      </c>
    </row>
    <row r="41" spans="2:33" x14ac:dyDescent="0.2">
      <c r="B41" s="142" t="s">
        <v>109</v>
      </c>
      <c r="C41" s="142" t="s">
        <v>110</v>
      </c>
      <c r="D41" s="142" t="s">
        <v>81</v>
      </c>
      <c r="E41" s="142" t="s">
        <v>234</v>
      </c>
      <c r="F41" s="142" t="s">
        <v>112</v>
      </c>
      <c r="G41" s="145" t="s">
        <v>463</v>
      </c>
      <c r="H41" s="142" t="s">
        <v>72</v>
      </c>
      <c r="I41" s="142" t="s">
        <v>115</v>
      </c>
      <c r="J41" s="142" t="s">
        <v>105</v>
      </c>
      <c r="K41" s="142" t="s">
        <v>116</v>
      </c>
      <c r="L41" s="142" t="s">
        <v>96</v>
      </c>
      <c r="M41" s="142" t="s">
        <v>448</v>
      </c>
      <c r="X41" s="1" t="s">
        <v>144</v>
      </c>
      <c r="Y41" s="6">
        <v>56</v>
      </c>
      <c r="Z41" s="5">
        <v>11</v>
      </c>
      <c r="AA41" s="5">
        <f t="shared" si="0"/>
        <v>45</v>
      </c>
      <c r="AB41" s="5">
        <v>2</v>
      </c>
    </row>
    <row r="42" spans="2:33" x14ac:dyDescent="0.2">
      <c r="B42" s="142" t="s">
        <v>119</v>
      </c>
      <c r="C42" s="142" t="s">
        <v>353</v>
      </c>
      <c r="D42" s="142" t="s">
        <v>92</v>
      </c>
      <c r="E42" s="142" t="s">
        <v>235</v>
      </c>
      <c r="F42" s="142" t="s">
        <v>238</v>
      </c>
      <c r="G42" s="142" t="s">
        <v>102</v>
      </c>
      <c r="H42" s="142" t="s">
        <v>84</v>
      </c>
      <c r="I42" s="145" t="s">
        <v>452</v>
      </c>
      <c r="J42" s="142" t="s">
        <v>123</v>
      </c>
      <c r="K42" s="142" t="s">
        <v>124</v>
      </c>
      <c r="L42" s="142" t="s">
        <v>446</v>
      </c>
      <c r="M42" s="142" t="s">
        <v>118</v>
      </c>
      <c r="X42" s="1" t="s">
        <v>127</v>
      </c>
      <c r="Y42" s="6">
        <v>46</v>
      </c>
      <c r="Z42" s="5">
        <v>11</v>
      </c>
      <c r="AA42" s="5">
        <f t="shared" si="0"/>
        <v>35</v>
      </c>
      <c r="AB42" s="5">
        <v>2</v>
      </c>
    </row>
    <row r="43" spans="2:33" x14ac:dyDescent="0.2">
      <c r="B43" s="142" t="s">
        <v>128</v>
      </c>
      <c r="C43" s="142" t="s">
        <v>459</v>
      </c>
      <c r="D43" s="142" t="s">
        <v>111</v>
      </c>
      <c r="E43" s="142" t="s">
        <v>236</v>
      </c>
      <c r="F43" s="142" t="s">
        <v>121</v>
      </c>
      <c r="G43" s="142" t="s">
        <v>113</v>
      </c>
      <c r="H43" s="142" t="s">
        <v>94</v>
      </c>
      <c r="I43" s="142" t="s">
        <v>251</v>
      </c>
      <c r="J43" s="142" t="s">
        <v>132</v>
      </c>
      <c r="K43" s="142" t="s">
        <v>133</v>
      </c>
      <c r="L43" s="142" t="s">
        <v>107</v>
      </c>
      <c r="M43" s="142" t="s">
        <v>428</v>
      </c>
      <c r="X43" s="1" t="s">
        <v>166</v>
      </c>
      <c r="Y43" s="6">
        <v>30</v>
      </c>
      <c r="Z43" s="5">
        <v>11</v>
      </c>
      <c r="AA43" s="5">
        <f t="shared" si="0"/>
        <v>19</v>
      </c>
      <c r="AB43" s="5">
        <v>2</v>
      </c>
    </row>
    <row r="44" spans="2:33" x14ac:dyDescent="0.2">
      <c r="B44" s="142" t="s">
        <v>137</v>
      </c>
      <c r="C44" s="142" t="s">
        <v>120</v>
      </c>
      <c r="D44" s="142"/>
      <c r="E44" s="142" t="s">
        <v>237</v>
      </c>
      <c r="F44" s="142" t="s">
        <v>239</v>
      </c>
      <c r="G44" s="142" t="s">
        <v>122</v>
      </c>
      <c r="H44" s="142" t="s">
        <v>103</v>
      </c>
      <c r="I44" s="142" t="s">
        <v>252</v>
      </c>
      <c r="J44" s="142" t="s">
        <v>140</v>
      </c>
      <c r="K44" s="142" t="s">
        <v>141</v>
      </c>
      <c r="L44" s="142" t="s">
        <v>117</v>
      </c>
      <c r="M44" s="142" t="s">
        <v>126</v>
      </c>
      <c r="X44" s="1" t="s">
        <v>176</v>
      </c>
      <c r="Y44" s="6">
        <v>16</v>
      </c>
      <c r="Z44" s="5">
        <v>1.5</v>
      </c>
      <c r="AA44" s="5">
        <f t="shared" si="0"/>
        <v>14.5</v>
      </c>
      <c r="AB44" s="5">
        <v>2</v>
      </c>
    </row>
    <row r="45" spans="2:33" x14ac:dyDescent="0.2">
      <c r="B45" s="142" t="s">
        <v>179</v>
      </c>
      <c r="C45" s="142" t="s">
        <v>129</v>
      </c>
      <c r="D45" s="142"/>
      <c r="E45" s="142"/>
      <c r="F45" s="142" t="s">
        <v>272</v>
      </c>
      <c r="G45" s="142" t="s">
        <v>130</v>
      </c>
      <c r="H45" s="142" t="s">
        <v>114</v>
      </c>
      <c r="I45" s="142" t="s">
        <v>131</v>
      </c>
      <c r="J45" s="142" t="s">
        <v>148</v>
      </c>
      <c r="K45" s="142" t="s">
        <v>432</v>
      </c>
      <c r="L45" s="142" t="s">
        <v>125</v>
      </c>
      <c r="M45" s="142" t="s">
        <v>143</v>
      </c>
      <c r="X45" s="1" t="s">
        <v>8</v>
      </c>
      <c r="Y45" s="6">
        <v>51</v>
      </c>
      <c r="Z45" s="5">
        <v>11</v>
      </c>
      <c r="AA45" s="5">
        <f t="shared" si="0"/>
        <v>40</v>
      </c>
      <c r="AB45" s="5">
        <v>2</v>
      </c>
    </row>
    <row r="46" spans="2:33" x14ac:dyDescent="0.2">
      <c r="B46" s="142" t="s">
        <v>385</v>
      </c>
      <c r="C46" s="142" t="s">
        <v>138</v>
      </c>
      <c r="D46" s="142"/>
      <c r="E46" s="142"/>
      <c r="F46" s="142" t="s">
        <v>139</v>
      </c>
      <c r="G46" s="142" t="s">
        <v>146</v>
      </c>
      <c r="H46" s="142"/>
      <c r="I46" s="142" t="s">
        <v>253</v>
      </c>
      <c r="J46" s="142" t="s">
        <v>162</v>
      </c>
      <c r="K46" s="142" t="s">
        <v>461</v>
      </c>
      <c r="L46" s="142" t="s">
        <v>134</v>
      </c>
      <c r="M46" s="142" t="s">
        <v>151</v>
      </c>
      <c r="X46" s="1" t="s">
        <v>274</v>
      </c>
      <c r="Y46" s="6">
        <v>16</v>
      </c>
      <c r="Z46" s="5">
        <v>1.5</v>
      </c>
      <c r="AA46" s="5">
        <f t="shared" si="0"/>
        <v>14.5</v>
      </c>
      <c r="AB46" s="5">
        <v>0</v>
      </c>
    </row>
    <row r="47" spans="2:33" x14ac:dyDescent="0.2">
      <c r="B47" s="142" t="s">
        <v>460</v>
      </c>
      <c r="C47" s="142" t="s">
        <v>145</v>
      </c>
      <c r="D47" s="142"/>
      <c r="E47" s="142"/>
      <c r="F47" s="142" t="s">
        <v>155</v>
      </c>
      <c r="G47" s="144" t="s">
        <v>451</v>
      </c>
      <c r="H47" s="142"/>
      <c r="I47" s="142" t="s">
        <v>147</v>
      </c>
      <c r="J47" s="142" t="s">
        <v>168</v>
      </c>
      <c r="K47" s="142" t="s">
        <v>149</v>
      </c>
      <c r="L47" s="142" t="s">
        <v>142</v>
      </c>
      <c r="M47" s="142" t="s">
        <v>158</v>
      </c>
      <c r="X47" s="1" t="s">
        <v>275</v>
      </c>
      <c r="Y47" s="6">
        <v>54</v>
      </c>
      <c r="Z47" s="5">
        <v>11</v>
      </c>
      <c r="AA47" s="5">
        <f t="shared" si="0"/>
        <v>43</v>
      </c>
      <c r="AB47" s="5">
        <v>2</v>
      </c>
    </row>
    <row r="48" spans="2:33" x14ac:dyDescent="0.2">
      <c r="B48" s="142" t="s">
        <v>153</v>
      </c>
      <c r="C48" s="142" t="s">
        <v>223</v>
      </c>
      <c r="D48" s="142"/>
      <c r="E48" s="142"/>
      <c r="F48" s="142" t="s">
        <v>161</v>
      </c>
      <c r="G48" s="142" t="s">
        <v>241</v>
      </c>
      <c r="H48" s="142"/>
      <c r="I48" s="142"/>
      <c r="J48" s="142" t="s">
        <v>364</v>
      </c>
      <c r="K48" s="142" t="s">
        <v>156</v>
      </c>
      <c r="L48" s="142" t="s">
        <v>150</v>
      </c>
      <c r="M48" s="142" t="s">
        <v>449</v>
      </c>
      <c r="X48" s="1" t="s">
        <v>276</v>
      </c>
      <c r="Y48" s="6">
        <v>51</v>
      </c>
      <c r="Z48" s="5">
        <v>11</v>
      </c>
      <c r="AA48" s="5">
        <f t="shared" si="0"/>
        <v>40</v>
      </c>
      <c r="AB48" s="5">
        <v>2</v>
      </c>
    </row>
    <row r="49" spans="2:28" x14ac:dyDescent="0.2">
      <c r="B49" s="142" t="s">
        <v>160</v>
      </c>
      <c r="C49" s="142" t="s">
        <v>154</v>
      </c>
      <c r="D49" s="142"/>
      <c r="E49" s="142"/>
      <c r="F49" s="142" t="s">
        <v>240</v>
      </c>
      <c r="G49" s="142" t="s">
        <v>342</v>
      </c>
      <c r="H49" s="142"/>
      <c r="I49" s="142"/>
      <c r="J49" s="142" t="s">
        <v>174</v>
      </c>
      <c r="K49" s="142" t="s">
        <v>163</v>
      </c>
      <c r="L49" s="142" t="s">
        <v>157</v>
      </c>
      <c r="M49" s="142" t="s">
        <v>187</v>
      </c>
      <c r="X49" s="1" t="s">
        <v>78</v>
      </c>
      <c r="Y49" s="6">
        <v>64</v>
      </c>
      <c r="Z49" s="5">
        <v>11</v>
      </c>
      <c r="AA49" s="5">
        <f t="shared" si="0"/>
        <v>53</v>
      </c>
      <c r="AB49" s="5">
        <v>2</v>
      </c>
    </row>
    <row r="50" spans="2:28" x14ac:dyDescent="0.2">
      <c r="B50" s="142" t="s">
        <v>167</v>
      </c>
      <c r="C50" s="142" t="s">
        <v>224</v>
      </c>
      <c r="D50" s="142"/>
      <c r="E50" s="142"/>
      <c r="F50" s="142" t="s">
        <v>172</v>
      </c>
      <c r="G50" s="128" t="s">
        <v>434</v>
      </c>
      <c r="H50" s="142"/>
      <c r="I50" s="142"/>
      <c r="J50" s="142" t="s">
        <v>178</v>
      </c>
      <c r="K50" s="142" t="s">
        <v>169</v>
      </c>
      <c r="L50" s="142" t="s">
        <v>445</v>
      </c>
      <c r="M50" s="142" t="s">
        <v>444</v>
      </c>
      <c r="Y50" s="6"/>
    </row>
    <row r="51" spans="2:28" x14ac:dyDescent="0.2">
      <c r="B51" s="142" t="s">
        <v>170</v>
      </c>
      <c r="C51" s="142" t="s">
        <v>171</v>
      </c>
      <c r="D51" s="142"/>
      <c r="E51" s="142"/>
      <c r="F51" s="142" t="s">
        <v>177</v>
      </c>
      <c r="G51" s="1" t="s">
        <v>242</v>
      </c>
      <c r="H51" s="142"/>
      <c r="I51" s="142"/>
      <c r="J51" s="142" t="s">
        <v>431</v>
      </c>
      <c r="K51" s="142"/>
      <c r="L51" s="142" t="s">
        <v>164</v>
      </c>
      <c r="M51" s="142" t="s">
        <v>429</v>
      </c>
      <c r="X51" s="1" t="s">
        <v>90</v>
      </c>
      <c r="Y51" s="6">
        <v>97</v>
      </c>
      <c r="Z51" s="5">
        <v>11</v>
      </c>
      <c r="AA51" s="5">
        <f t="shared" si="0"/>
        <v>86</v>
      </c>
      <c r="AB51" s="5">
        <v>2</v>
      </c>
    </row>
    <row r="52" spans="2:28" x14ac:dyDescent="0.2">
      <c r="B52" s="1" t="s">
        <v>442</v>
      </c>
      <c r="C52" s="1" t="s">
        <v>375</v>
      </c>
      <c r="F52" s="1" t="s">
        <v>180</v>
      </c>
      <c r="G52" s="145" t="s">
        <v>454</v>
      </c>
      <c r="H52" s="142"/>
      <c r="I52" s="142"/>
      <c r="J52" s="142" t="s">
        <v>182</v>
      </c>
      <c r="K52" s="142"/>
      <c r="L52" s="142"/>
      <c r="M52" s="142"/>
      <c r="X52" s="1" t="s">
        <v>98</v>
      </c>
      <c r="Y52" s="6">
        <v>177</v>
      </c>
      <c r="Z52" s="5">
        <v>11</v>
      </c>
      <c r="AA52" s="5">
        <f t="shared" si="0"/>
        <v>166</v>
      </c>
      <c r="AB52" s="5">
        <v>2</v>
      </c>
    </row>
    <row r="53" spans="2:28" x14ac:dyDescent="0.2">
      <c r="C53" s="1" t="s">
        <v>225</v>
      </c>
      <c r="F53" s="1" t="s">
        <v>184</v>
      </c>
      <c r="G53" s="1" t="s">
        <v>173</v>
      </c>
      <c r="H53" s="142"/>
      <c r="I53" s="142"/>
      <c r="J53" s="142" t="s">
        <v>447</v>
      </c>
      <c r="K53" s="142"/>
      <c r="L53" s="142"/>
      <c r="M53" s="142"/>
      <c r="X53" s="1" t="s">
        <v>67</v>
      </c>
      <c r="Y53" s="6">
        <v>64</v>
      </c>
      <c r="Z53" s="5">
        <v>11</v>
      </c>
      <c r="AA53" s="5">
        <f t="shared" si="0"/>
        <v>53</v>
      </c>
      <c r="AB53" s="5">
        <v>2</v>
      </c>
    </row>
    <row r="54" spans="2:28" x14ac:dyDescent="0.2">
      <c r="C54" s="1" t="s">
        <v>183</v>
      </c>
      <c r="F54" s="1" t="s">
        <v>189</v>
      </c>
      <c r="G54" s="1" t="s">
        <v>372</v>
      </c>
      <c r="H54" s="142"/>
      <c r="I54" s="142"/>
      <c r="J54" s="142" t="s">
        <v>186</v>
      </c>
      <c r="K54" s="142"/>
      <c r="L54" s="142"/>
      <c r="M54" s="147" t="s">
        <v>165</v>
      </c>
      <c r="X54" s="1" t="s">
        <v>152</v>
      </c>
      <c r="Y54" s="6">
        <v>374</v>
      </c>
      <c r="Z54" s="5">
        <v>11</v>
      </c>
      <c r="AA54" s="5">
        <f t="shared" si="0"/>
        <v>363</v>
      </c>
      <c r="AB54" s="5">
        <v>2</v>
      </c>
    </row>
    <row r="55" spans="2:28" x14ac:dyDescent="0.2">
      <c r="C55" s="1" t="s">
        <v>226</v>
      </c>
      <c r="G55" s="1" t="s">
        <v>243</v>
      </c>
      <c r="J55" s="1" t="s">
        <v>191</v>
      </c>
      <c r="M55" s="86" t="s">
        <v>175</v>
      </c>
      <c r="X55" s="1" t="s">
        <v>159</v>
      </c>
      <c r="Y55" s="6">
        <v>187</v>
      </c>
      <c r="Z55" s="5">
        <v>11</v>
      </c>
      <c r="AA55" s="5">
        <f t="shared" si="0"/>
        <v>176</v>
      </c>
      <c r="AB55" s="5">
        <v>2</v>
      </c>
    </row>
    <row r="56" spans="2:28" x14ac:dyDescent="0.2">
      <c r="C56" s="1" t="s">
        <v>188</v>
      </c>
      <c r="G56" s="1" t="s">
        <v>181</v>
      </c>
      <c r="J56" s="1" t="s">
        <v>194</v>
      </c>
      <c r="M56" s="86" t="s">
        <v>135</v>
      </c>
      <c r="Y56" s="1"/>
      <c r="Z56" s="1"/>
      <c r="AA56" s="1"/>
      <c r="AB56" s="1"/>
    </row>
    <row r="57" spans="2:28" x14ac:dyDescent="0.2">
      <c r="C57" s="1" t="s">
        <v>192</v>
      </c>
      <c r="G57" s="1" t="s">
        <v>185</v>
      </c>
      <c r="J57" s="1" t="s">
        <v>303</v>
      </c>
      <c r="M57" s="86" t="s">
        <v>89</v>
      </c>
      <c r="Y57" s="1"/>
      <c r="Z57" s="1"/>
      <c r="AA57" s="1"/>
      <c r="AB57" s="1"/>
    </row>
    <row r="58" spans="2:28" x14ac:dyDescent="0.2">
      <c r="C58" s="131" t="s">
        <v>433</v>
      </c>
      <c r="G58" s="1" t="s">
        <v>244</v>
      </c>
      <c r="Y58" s="1"/>
      <c r="Z58" s="1"/>
      <c r="AA58" s="1"/>
      <c r="AB58" s="1"/>
    </row>
    <row r="59" spans="2:28" ht="10.15" customHeight="1" x14ac:dyDescent="0.2">
      <c r="C59" s="1" t="s">
        <v>197</v>
      </c>
      <c r="G59" s="1" t="s">
        <v>190</v>
      </c>
      <c r="N59" s="130"/>
      <c r="Y59" s="1"/>
      <c r="Z59" s="1"/>
      <c r="AA59" s="1"/>
      <c r="AB59" s="1"/>
    </row>
    <row r="60" spans="2:28" ht="10.15" customHeight="1" x14ac:dyDescent="0.2">
      <c r="C60" s="1" t="s">
        <v>198</v>
      </c>
      <c r="G60" s="1" t="s">
        <v>363</v>
      </c>
      <c r="N60" s="130"/>
    </row>
    <row r="61" spans="2:28" ht="10.15" customHeight="1" x14ac:dyDescent="0.2">
      <c r="C61" s="1" t="s">
        <v>204</v>
      </c>
      <c r="G61" s="1" t="s">
        <v>193</v>
      </c>
      <c r="N61" s="130"/>
    </row>
    <row r="62" spans="2:28" x14ac:dyDescent="0.2">
      <c r="C62" s="1" t="s">
        <v>195</v>
      </c>
      <c r="G62" s="1" t="s">
        <v>196</v>
      </c>
    </row>
    <row r="63" spans="2:28" x14ac:dyDescent="0.2">
      <c r="C63" s="1" t="s">
        <v>200</v>
      </c>
      <c r="G63" s="1" t="s">
        <v>199</v>
      </c>
    </row>
    <row r="64" spans="2:28" x14ac:dyDescent="0.2">
      <c r="C64" s="1" t="s">
        <v>202</v>
      </c>
      <c r="G64" s="1" t="s">
        <v>201</v>
      </c>
    </row>
    <row r="65" spans="3:7" x14ac:dyDescent="0.2">
      <c r="C65" s="1" t="s">
        <v>206</v>
      </c>
      <c r="G65" s="1" t="s">
        <v>203</v>
      </c>
    </row>
    <row r="66" spans="3:7" x14ac:dyDescent="0.2">
      <c r="C66" s="1" t="s">
        <v>208</v>
      </c>
      <c r="G66" s="1" t="s">
        <v>205</v>
      </c>
    </row>
    <row r="67" spans="3:7" x14ac:dyDescent="0.2">
      <c r="G67" s="1" t="s">
        <v>207</v>
      </c>
    </row>
    <row r="68" spans="3:7" x14ac:dyDescent="0.2">
      <c r="G68" s="1" t="s">
        <v>209</v>
      </c>
    </row>
    <row r="69" spans="3:7" x14ac:dyDescent="0.2">
      <c r="G69" s="1" t="s">
        <v>210</v>
      </c>
    </row>
    <row r="70" spans="3:7" x14ac:dyDescent="0.2">
      <c r="G70" s="1" t="s">
        <v>371</v>
      </c>
    </row>
    <row r="71" spans="3:7" x14ac:dyDescent="0.2">
      <c r="G71" s="1" t="s">
        <v>211</v>
      </c>
    </row>
    <row r="72" spans="3:7" x14ac:dyDescent="0.2">
      <c r="G72" s="1" t="s">
        <v>245</v>
      </c>
    </row>
    <row r="73" spans="3:7" x14ac:dyDescent="0.2">
      <c r="G73" s="88" t="s">
        <v>450</v>
      </c>
    </row>
    <row r="74" spans="3:7" x14ac:dyDescent="0.2">
      <c r="G74" s="1" t="s">
        <v>212</v>
      </c>
    </row>
    <row r="75" spans="3:7" x14ac:dyDescent="0.2">
      <c r="G75" s="1" t="s">
        <v>213</v>
      </c>
    </row>
    <row r="76" spans="3:7" x14ac:dyDescent="0.2">
      <c r="G76" s="1" t="s">
        <v>214</v>
      </c>
    </row>
    <row r="77" spans="3:7" x14ac:dyDescent="0.2">
      <c r="G77" s="1" t="s">
        <v>246</v>
      </c>
    </row>
    <row r="78" spans="3:7" x14ac:dyDescent="0.2">
      <c r="G78" s="1" t="s">
        <v>215</v>
      </c>
    </row>
    <row r="79" spans="3:7" x14ac:dyDescent="0.2">
      <c r="G79" s="1" t="s">
        <v>247</v>
      </c>
    </row>
    <row r="80" spans="3:7" x14ac:dyDescent="0.2">
      <c r="G80" s="1" t="s">
        <v>216</v>
      </c>
    </row>
    <row r="81" spans="7:7" x14ac:dyDescent="0.2">
      <c r="G81" s="1" t="s">
        <v>217</v>
      </c>
    </row>
    <row r="82" spans="7:7" x14ac:dyDescent="0.2">
      <c r="G82" s="1" t="s">
        <v>218</v>
      </c>
    </row>
    <row r="83" spans="7:7" x14ac:dyDescent="0.2">
      <c r="G83" s="1" t="s">
        <v>219</v>
      </c>
    </row>
    <row r="84" spans="7:7" x14ac:dyDescent="0.2">
      <c r="G84" s="128" t="s">
        <v>427</v>
      </c>
    </row>
    <row r="85" spans="7:7" x14ac:dyDescent="0.2">
      <c r="G85" s="1" t="s">
        <v>221</v>
      </c>
    </row>
    <row r="105" spans="27:32" x14ac:dyDescent="0.2">
      <c r="AC105" s="2"/>
      <c r="AD105" s="2"/>
      <c r="AF105" s="2"/>
    </row>
    <row r="109" spans="27:32" x14ac:dyDescent="0.2">
      <c r="AA109" s="7"/>
    </row>
    <row r="169" spans="26:32" x14ac:dyDescent="0.2">
      <c r="AC169" s="2"/>
      <c r="AE169" s="2"/>
      <c r="AF169" s="2"/>
    </row>
    <row r="173" spans="26:32" x14ac:dyDescent="0.2">
      <c r="Z173" s="7"/>
      <c r="AB173" s="7"/>
    </row>
  </sheetData>
  <phoneticPr fontId="4" type="noConversion"/>
  <hyperlinks>
    <hyperlink ref="F40" r:id="rId1" display="javascript:OpenClub('gridStructure_GridKey','18337f34-d707-4f0d-b872-afffc25ab66c','GENE');" xr:uid="{87BA6494-4EFA-440B-A35B-7675F3052285}"/>
    <hyperlink ref="E39" r:id="rId2" display="javascript:OpenClub('gridStructure_GridKey','3cc2c801-57c7-4b53-99d8-05c4ddd7ab0c','GENE');" xr:uid="{578BF97A-A37A-4BB7-BFBB-48F698CCD6F3}"/>
    <hyperlink ref="G47" r:id="rId3" display="javascript:OpenClub('gridStructure_GridKey','9deb10c4-070f-46bf-bfb7-17a35cfc201d','GENE');" xr:uid="{B1100AEB-5337-4A6C-A8B6-30303FE13600}"/>
  </hyperlinks>
  <pageMargins left="0.7" right="0.7" top="0.75" bottom="0.75" header="0.3" footer="0.3"/>
  <pageSetup paperSize="9" scale="57" fitToWidth="0" orientation="landscape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r X h q U c Q X S Z + l A A A A 9 Q A A A B I A H A B D b 2 5 m a W c v U G F j a 2 F n Z S 5 4 b W w g o h g A K K A U A A A A A A A A A A A A A A A A A A A A A A A A A A A A h Y 8 x D o I w A E W v Q r r T l h q V k F I G E y d J j C b G t S k F G q G Y t l j u 5 u C R v I I Y R d 0 c / / t v + P 9 + v d F s a J v g I o 1 V n U 5 B B D E I p B Z d o X S V g t 6 V Y Q w y R r d c n H g l g 1 H W N h l s k Y L a u X O C k P c e + h n s T I U I x h E 6 5 p u 9 q G X L w U d W / + V Q a e u 4 F h I w e n i N Y Q T G C 7 g k c 4 g p m h j N l f 7 2 Z J z 7 b H 8 g X f W N 6 4 1 k p Q n X O 4 q m S N H 7 A n s A U E s D B B Q A A g A I A K 1 4 a l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t e G p R K I p H u A 4 A A A A R A A A A E w A c A E Z v c m 1 1 b G F z L 1 N l Y 3 R p b 2 4 x L m 0 g o h g A K K A U A A A A A A A A A A A A A A A A A A A A A A A A A A A A K 0 5 N L s n M z 1 M I h t C G 1 g B Q S w E C L Q A U A A I A C A C t e G p R x B d J n 6 U A A A D 1 A A A A E g A A A A A A A A A A A A A A A A A A A A A A Q 2 9 u Z m l n L 1 B h Y 2 t h Z 2 U u e G 1 s U E s B A i 0 A F A A C A A g A r X h q U Q / K 6 a u k A A A A 6 Q A A A B M A A A A A A A A A A A A A A A A A 8 Q A A A F t D b 2 5 0 Z W 5 0 X 1 R 5 c G V z X S 5 4 b W x Q S w E C L Q A U A A I A C A C t e G p R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z 7 p w 6 l j s J E u Y A B g Q e 1 h 7 7 A A A A A A C A A A A A A A Q Z g A A A A E A A C A A A A B D 9 a 0 k M Q o p g Y Q 8 O X W M g S A x x + d b x f N h x l 4 l p A x 6 2 4 1 L M Q A A A A A O g A A A A A I A A C A A A A D s W N v k O d 4 L T A e s + 3 p y M a z / Q c Q x d o P d Q w E 7 M 9 / 3 A w S 2 U l A A A A B N x m l Y g u 0 Z 1 3 F i B o 3 l b L p k D F p r Y B U C n s Y 9 K y r 0 q g 4 c L O 9 A / v v x 8 r + 5 Y Y i g T 1 M O q 6 t / N A X L h g J b S w l f F E 4 C r d 3 O G S Z 3 2 3 4 O 9 z e b y n d S L y 0 i R U A A A A A x j a a W 5 P p Z l s b G 6 F c w n + T j L 2 6 s M D 6 e h r E / t l L y 7 7 X m e 1 X / F S L M q K Z m h i X 9 s E G 6 3 9 R 8 R 3 1 t s J V t b 0 y W p T b C E 4 H I < / D a t a M a s h u p > 
</file>

<file path=customXml/itemProps1.xml><?xml version="1.0" encoding="utf-8"?>
<ds:datastoreItem xmlns:ds="http://schemas.openxmlformats.org/officeDocument/2006/customXml" ds:itemID="{E100BEDE-2A7C-43C9-A475-9A6B5AB7A2A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23</vt:i4>
      </vt:variant>
    </vt:vector>
  </HeadingPairs>
  <TitlesOfParts>
    <vt:vector size="26" baseType="lpstr">
      <vt:lpstr>Bordereau Epr.-Aff.-CicleWeb</vt:lpstr>
      <vt:lpstr>Données</vt:lpstr>
      <vt:lpstr>Listes</vt:lpstr>
      <vt:lpstr>Affiliation</vt:lpstr>
      <vt:lpstr>BMX</vt:lpstr>
      <vt:lpstr>C.CROSS</vt:lpstr>
      <vt:lpstr>CD</vt:lpstr>
      <vt:lpstr>CD.16</vt:lpstr>
      <vt:lpstr>CD.17</vt:lpstr>
      <vt:lpstr>CD.19</vt:lpstr>
      <vt:lpstr>CD.23</vt:lpstr>
      <vt:lpstr>CD.24</vt:lpstr>
      <vt:lpstr>CD.33</vt:lpstr>
      <vt:lpstr>CD.40</vt:lpstr>
      <vt:lpstr>CD.47</vt:lpstr>
      <vt:lpstr>CD.64</vt:lpstr>
      <vt:lpstr>CD.79</vt:lpstr>
      <vt:lpstr>CD.86</vt:lpstr>
      <vt:lpstr>CD.87</vt:lpstr>
      <vt:lpstr>Discipline</vt:lpstr>
      <vt:lpstr>GRAVEL</vt:lpstr>
      <vt:lpstr>Licence</vt:lpstr>
      <vt:lpstr>PISTE</vt:lpstr>
      <vt:lpstr>ROUTE</vt:lpstr>
      <vt:lpstr>VTT</vt:lpstr>
      <vt:lpstr>'Bordereau Epr.-Aff.-CicleWeb'!Zone_d_impression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zoeso</dc:creator>
  <cp:lastModifiedBy>Isabelle TRILLAUD</cp:lastModifiedBy>
  <cp:lastPrinted>2024-12-16T12:34:18Z</cp:lastPrinted>
  <dcterms:created xsi:type="dcterms:W3CDTF">2020-11-10T13:37:58Z</dcterms:created>
  <dcterms:modified xsi:type="dcterms:W3CDTF">2024-12-16T12:34:46Z</dcterms:modified>
</cp:coreProperties>
</file>