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-CR_Nouvelle_Aquitaine\2024\2-ADMINISTRATIF\LICENCES et AFFILIATION - bor\BORDEREAU\"/>
    </mc:Choice>
  </mc:AlternateContent>
  <xr:revisionPtr revIDLastSave="0" documentId="13_ncr:1_{726C4173-CEC3-4C35-9EA5-D46FCF652CA3}" xr6:coauthVersionLast="47" xr6:coauthVersionMax="47" xr10:uidLastSave="{00000000-0000-0000-0000-000000000000}"/>
  <bookViews>
    <workbookView xWindow="-108" yWindow="-108" windowWidth="23256" windowHeight="12576" xr2:uid="{3D4CAF4B-0976-401C-B9A7-32424A1BD862}"/>
  </bookViews>
  <sheets>
    <sheet name="Bordereau Reversion" sheetId="10" r:id="rId1"/>
    <sheet name="Données" sheetId="12" state="hidden" r:id="rId2"/>
    <sheet name="Listes" sheetId="11" state="hidden" r:id="rId3"/>
    <sheet name="Feuil1" sheetId="13" state="hidden" r:id="rId4"/>
  </sheets>
  <externalReferences>
    <externalReference r:id="rId5"/>
  </externalReferences>
  <definedNames>
    <definedName name="Affiliation">Données!$F$29:$F$31</definedName>
    <definedName name="BMX">Listes!$D$3:$D$6</definedName>
    <definedName name="C.CROSS">Listes!$E$3:$E$4</definedName>
    <definedName name="CD">Listes!$B$42:$M$42</definedName>
    <definedName name="CD.16">Listes!$B$43:$B$61</definedName>
    <definedName name="CD.17">Listes!$C$43:$C$75</definedName>
    <definedName name="CD.19">Listes!$D$43:$D$53</definedName>
    <definedName name="CD.23">Listes!$E$43:$E$53</definedName>
    <definedName name="CD.24">Listes!$F$43:$F$62</definedName>
    <definedName name="CD.33">Listes!$G$43:$G$86</definedName>
    <definedName name="CD.40">Listes!$H$43:$H$56</definedName>
    <definedName name="CD.47">Listes!$I$43:$I$57</definedName>
    <definedName name="CD.64">Listes!$J$43:$J$67</definedName>
    <definedName name="CD.79">Listes!$K$43:$K$58</definedName>
    <definedName name="CD.86">Listes!$L$43:$L$58</definedName>
    <definedName name="CD.87">Listes!$M$43:$M$62</definedName>
    <definedName name="Discipline">Listes!$B$2:$G$2</definedName>
    <definedName name="GRAVEL">Listes!$F$3:$F$4</definedName>
    <definedName name="Licence">Données!$F$4:$F$21</definedName>
    <definedName name="PISTE">Listes!$G$3:$G$5</definedName>
    <definedName name="ROUTE">Listes!$B$3:$B$36</definedName>
    <definedName name="VTT">Listes!$C$3:$C$14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0" l="1"/>
  <c r="H19" i="10"/>
  <c r="F19" i="10"/>
  <c r="D19" i="10"/>
  <c r="F27" i="10"/>
  <c r="D27" i="10"/>
  <c r="C33" i="10"/>
  <c r="K25" i="10"/>
  <c r="K17" i="10"/>
  <c r="K32" i="10" s="1"/>
  <c r="C32" i="10"/>
  <c r="H28" i="10"/>
  <c r="F28" i="10"/>
  <c r="D28" i="10"/>
  <c r="H26" i="10"/>
  <c r="F26" i="10"/>
  <c r="D26" i="10"/>
  <c r="H20" i="10"/>
  <c r="F20" i="10"/>
  <c r="D20" i="10"/>
  <c r="Y18" i="10"/>
  <c r="N27" i="10" s="1"/>
  <c r="H18" i="10"/>
  <c r="F18" i="10"/>
  <c r="D18" i="10"/>
  <c r="Y17" i="10"/>
  <c r="N20" i="10" s="1"/>
  <c r="N8" i="10"/>
  <c r="C271" i="12"/>
  <c r="C270" i="12"/>
  <c r="C268" i="12"/>
  <c r="C250" i="12"/>
  <c r="C249" i="12"/>
  <c r="C238" i="12"/>
  <c r="C226" i="12"/>
  <c r="C222" i="12"/>
  <c r="C218" i="12"/>
  <c r="C191" i="12"/>
  <c r="C184" i="12"/>
  <c r="C175" i="12"/>
  <c r="C157" i="12"/>
  <c r="C152" i="12"/>
  <c r="C130" i="12"/>
  <c r="C127" i="12"/>
  <c r="C124" i="12"/>
  <c r="C105" i="12"/>
  <c r="C89" i="12"/>
  <c r="C73" i="12"/>
  <c r="C71" i="12"/>
  <c r="C68" i="12"/>
  <c r="F52" i="12"/>
  <c r="C48" i="12"/>
  <c r="F47" i="12"/>
  <c r="F51" i="12" s="1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I31" i="12"/>
  <c r="C31" i="12"/>
  <c r="I30" i="12"/>
  <c r="C30" i="12"/>
  <c r="I29" i="12"/>
  <c r="C29" i="12"/>
  <c r="C28" i="12"/>
  <c r="C27" i="12"/>
  <c r="C26" i="12"/>
  <c r="C25" i="12"/>
  <c r="C22" i="12"/>
  <c r="I21" i="12"/>
  <c r="C21" i="12"/>
  <c r="I20" i="12"/>
  <c r="C20" i="12"/>
  <c r="I19" i="12"/>
  <c r="C19" i="12"/>
  <c r="I18" i="12"/>
  <c r="I17" i="12"/>
  <c r="C17" i="12"/>
  <c r="I16" i="12"/>
  <c r="C16" i="12"/>
  <c r="I15" i="12"/>
  <c r="C15" i="12"/>
  <c r="I14" i="12"/>
  <c r="C14" i="12"/>
  <c r="I13" i="12"/>
  <c r="I12" i="12"/>
  <c r="C12" i="12"/>
  <c r="I11" i="12"/>
  <c r="C11" i="12"/>
  <c r="I10" i="12"/>
  <c r="C10" i="12"/>
  <c r="I9" i="12"/>
  <c r="C9" i="12"/>
  <c r="I8" i="12"/>
  <c r="C8" i="12"/>
  <c r="I7" i="12"/>
  <c r="C7" i="12"/>
  <c r="I6" i="12"/>
  <c r="C6" i="12"/>
  <c r="I5" i="12"/>
  <c r="C5" i="12"/>
  <c r="I4" i="12"/>
  <c r="C4" i="12"/>
  <c r="C3" i="12"/>
  <c r="AA66" i="11"/>
  <c r="AA65" i="11"/>
  <c r="AA64" i="11"/>
  <c r="AA63" i="11"/>
  <c r="AA62" i="11"/>
  <c r="AA61" i="11"/>
  <c r="AA60" i="11"/>
  <c r="AA59" i="11"/>
  <c r="AA58" i="11"/>
  <c r="AA57" i="11"/>
  <c r="AA56" i="11"/>
  <c r="AA55" i="11"/>
  <c r="AA54" i="11"/>
  <c r="AA53" i="11"/>
  <c r="AA52" i="11"/>
  <c r="AG51" i="11"/>
  <c r="AA51" i="11"/>
  <c r="AG50" i="11"/>
  <c r="AA50" i="11"/>
  <c r="AA49" i="11"/>
  <c r="AA48" i="11"/>
  <c r="AA47" i="11"/>
  <c r="AA46" i="11"/>
  <c r="AG45" i="11"/>
  <c r="AG46" i="11" s="1"/>
  <c r="AG47" i="11" s="1"/>
  <c r="AA45" i="11"/>
  <c r="F53" i="12"/>
  <c r="L5" i="10"/>
  <c r="K18" i="10" l="1"/>
  <c r="N28" i="10"/>
  <c r="N17" i="10"/>
  <c r="M17" i="10" s="1"/>
  <c r="N18" i="10"/>
  <c r="N25" i="10"/>
  <c r="M25" i="10" s="1"/>
  <c r="N19" i="10"/>
  <c r="K20" i="10"/>
  <c r="K27" i="10"/>
  <c r="M27" i="10" s="1"/>
  <c r="N26" i="10"/>
  <c r="K26" i="10"/>
  <c r="M26" i="10" s="1"/>
  <c r="K28" i="10"/>
  <c r="K19" i="10"/>
  <c r="M19" i="10" s="1"/>
  <c r="AG49" i="11"/>
  <c r="AG48" i="11"/>
  <c r="F50" i="12"/>
  <c r="F48" i="12"/>
  <c r="F49" i="12" s="1"/>
  <c r="M18" i="10" l="1"/>
  <c r="M30" i="10" s="1"/>
  <c r="M28" i="10"/>
  <c r="K33" i="10"/>
  <c r="K30" i="10"/>
  <c r="M20" i="10"/>
  <c r="N30" i="10"/>
  <c r="H33" i="10" s="1"/>
  <c r="AG43" i="11"/>
  <c r="F45" i="12"/>
  <c r="H32" i="10" l="1"/>
  <c r="H5" i="10"/>
</calcChain>
</file>

<file path=xl/sharedStrings.xml><?xml version="1.0" encoding="utf-8"?>
<sst xmlns="http://schemas.openxmlformats.org/spreadsheetml/2006/main" count="1192" uniqueCount="629">
  <si>
    <t>LICENCE</t>
  </si>
  <si>
    <t>N° Bordereau</t>
  </si>
  <si>
    <t>France Cycliste</t>
  </si>
  <si>
    <t>Tarif</t>
  </si>
  <si>
    <t>CR</t>
  </si>
  <si>
    <t>FFC</t>
  </si>
  <si>
    <t>Part CD 33</t>
  </si>
  <si>
    <t>Type</t>
  </si>
  <si>
    <t>Jeune</t>
  </si>
  <si>
    <t>Papier</t>
  </si>
  <si>
    <t>Junior</t>
  </si>
  <si>
    <t>ADRENALINE SENSATIONS TEAM AS</t>
  </si>
  <si>
    <t>BMXL ACADEMY</t>
  </si>
  <si>
    <t>AC ECHIRE</t>
  </si>
  <si>
    <t>Numérique</t>
  </si>
  <si>
    <t>1ère Cat</t>
  </si>
  <si>
    <t>AS PERIGORD BESSEDE</t>
  </si>
  <si>
    <t>CA MORCENAIS</t>
  </si>
  <si>
    <t>Arbitre</t>
  </si>
  <si>
    <t>2ème Cat</t>
  </si>
  <si>
    <t>BICROSS CLUB DU TERRASSONNAIS</t>
  </si>
  <si>
    <t>ARTIGUES VELO CLUB</t>
  </si>
  <si>
    <t>GUIDON SAINT MARTINOIS</t>
  </si>
  <si>
    <t>AVIRON BAYONNAIS</t>
  </si>
  <si>
    <t>BMX CLUB NIORTAIS</t>
  </si>
  <si>
    <t>3ème Cat</t>
  </si>
  <si>
    <t>AC ST MICHEL</t>
  </si>
  <si>
    <t>AC ETAULAIS</t>
  </si>
  <si>
    <t>CC PERIGUEUX DORDOGNE</t>
  </si>
  <si>
    <t>AS TESTERINE</t>
  </si>
  <si>
    <t>PEYREHORADE SC</t>
  </si>
  <si>
    <t>CC MARMANDAIS</t>
  </si>
  <si>
    <t>AS ST JUNIEN BMX</t>
  </si>
  <si>
    <t>PC Open</t>
  </si>
  <si>
    <t>AL GOND PONTOUVRE</t>
  </si>
  <si>
    <t>CREUSE OXYGENE</t>
  </si>
  <si>
    <t>SAINT PAUL SPORTS</t>
  </si>
  <si>
    <t>CERCLE DEPARTEMENTAL 47 FFC</t>
  </si>
  <si>
    <t>BICROSS CLUB DENGUIN</t>
  </si>
  <si>
    <t>PC</t>
  </si>
  <si>
    <t>TULLE CYCLISME COMPETITION</t>
  </si>
  <si>
    <t>AVC LIBOURNAIS</t>
  </si>
  <si>
    <t>STADE MONTOIS BMX</t>
  </si>
  <si>
    <t>CS CASSENEUIL</t>
  </si>
  <si>
    <t>BIZIKLETA TALDEA PAYS BASQUE</t>
  </si>
  <si>
    <t>Encadrement</t>
  </si>
  <si>
    <t>BRIE LOISIRS ET CULTURE</t>
  </si>
  <si>
    <t>BMX BREUILLET</t>
  </si>
  <si>
    <t>TULLE VTT EN PAYS DE TULLE</t>
  </si>
  <si>
    <t>DORDOGNE SUD CYCLISME</t>
  </si>
  <si>
    <t>BICROSS DE MIOS</t>
  </si>
  <si>
    <t>STADE MONTOIS CYCLISME</t>
  </si>
  <si>
    <t>CS CASTELJALOUSAIN</t>
  </si>
  <si>
    <t>ESSOR CYCLISTE BASQUE</t>
  </si>
  <si>
    <t>CYCLOS DES 3 VALLEES</t>
  </si>
  <si>
    <t>BMX VAL DU TAURION</t>
  </si>
  <si>
    <t>Arb EV/BMX/Club</t>
  </si>
  <si>
    <t>BMX CLUB SAINTAIS</t>
  </si>
  <si>
    <t>EC TRELISSAC COULOUNIEIX 24</t>
  </si>
  <si>
    <t>BMX GUJANAIS</t>
  </si>
  <si>
    <t>UC AIRE BARCELONNE</t>
  </si>
  <si>
    <t>CYCLO 4 HAUT AGENAIS</t>
  </si>
  <si>
    <t>FC OLORON CYCLISME</t>
  </si>
  <si>
    <t>CYCLO LOISIR MONCOUTANT</t>
  </si>
  <si>
    <t>BRIANCE ROSELLE AVENTURE</t>
  </si>
  <si>
    <t>Arb Nat/Rég</t>
  </si>
  <si>
    <t>CLUB LOISIR MARTELL CYCLO</t>
  </si>
  <si>
    <t>USSEL CYCLISME ORGANISATION</t>
  </si>
  <si>
    <t>ETOILE CYCLISTE FOYENNE</t>
  </si>
  <si>
    <t>DESTINATION MTB RACE</t>
  </si>
  <si>
    <t>POITOU CHARENTES ANIMATION</t>
  </si>
  <si>
    <t>Arb Fédér/Int</t>
  </si>
  <si>
    <t>COGNAC BMX</t>
  </si>
  <si>
    <t>BRAQUET SAINTONGEAIS</t>
  </si>
  <si>
    <t>EVCC BERGERAC</t>
  </si>
  <si>
    <t>CA BEGLAIS</t>
  </si>
  <si>
    <t>VC MONTOIS</t>
  </si>
  <si>
    <t>GUIDON AGENAIS</t>
  </si>
  <si>
    <t>MAAF SECTION VELO</t>
  </si>
  <si>
    <t>CONDAT BMX CLUB</t>
  </si>
  <si>
    <t>VTT  ARGENTAT</t>
  </si>
  <si>
    <t>JS ASTERIENNE</t>
  </si>
  <si>
    <t>CAM BORDEAUX</t>
  </si>
  <si>
    <t>VC TARNOS</t>
  </si>
  <si>
    <t>LVC TONNEINS</t>
  </si>
  <si>
    <t>NIORT SECURITE MOTO</t>
  </si>
  <si>
    <t>ESCORTE MOTOCYCLISTE DE SECURITE</t>
  </si>
  <si>
    <t>RC MUSSIDAN</t>
  </si>
  <si>
    <t>CANEJAN BMX CLUB</t>
  </si>
  <si>
    <t>LESCAR VS</t>
  </si>
  <si>
    <t>Loisir</t>
  </si>
  <si>
    <t>GUIDON MANSLOIS</t>
  </si>
  <si>
    <t>COTE DE BEAUTE CYCLISME</t>
  </si>
  <si>
    <t>CAVIGNAC BMX CLUB</t>
  </si>
  <si>
    <t>UC LAVARDAC BARBASTE</t>
  </si>
  <si>
    <t>OLORON O BEARN SPORT NATURE</t>
  </si>
  <si>
    <t>SAINT LEGER BMX</t>
  </si>
  <si>
    <t>SINGLETRACKS</t>
  </si>
  <si>
    <t>Nature</t>
  </si>
  <si>
    <t>ENTENTE CYCLISTE 3 M</t>
  </si>
  <si>
    <t>TEAM CYCLISTE ALBERT BIGOT 79  NUEIL AUBIERS</t>
  </si>
  <si>
    <t>ST DENIS US</t>
  </si>
  <si>
    <t>Urbain</t>
  </si>
  <si>
    <t>CC ILLADAIS</t>
  </si>
  <si>
    <t>PAU VELO 64</t>
  </si>
  <si>
    <t>TOUR DU LIMOUSIN ORGANISATION</t>
  </si>
  <si>
    <t>Animateur Fédéral</t>
  </si>
  <si>
    <t>LA ROUE LIBRE SAVINOISE</t>
  </si>
  <si>
    <t>VCC TRIMOUILLAIS</t>
  </si>
  <si>
    <t>Animateur Régional</t>
  </si>
  <si>
    <t>VC POMPONNAIS</t>
  </si>
  <si>
    <t>SA MAULEON</t>
  </si>
  <si>
    <t>VELO CLUB NAINTRÉEN</t>
  </si>
  <si>
    <t>U.C.DORACHONNE NORD 87</t>
  </si>
  <si>
    <t>Santé</t>
  </si>
  <si>
    <t>SC SERRES CASTET</t>
  </si>
  <si>
    <t>VS CANTON DE BEAUVOIR</t>
  </si>
  <si>
    <t>UCAP ANGOULEME</t>
  </si>
  <si>
    <t>VELO SILEX</t>
  </si>
  <si>
    <t>EC MEDOC ATLANTIQUE</t>
  </si>
  <si>
    <t>UC ORTHEZIENNE</t>
  </si>
  <si>
    <t>US NANTIAT-ESCAPADE PAYS MTS BLOND</t>
  </si>
  <si>
    <t>Baby Vélo</t>
  </si>
  <si>
    <t>VTT CLUB BERGERAC PERIGORD</t>
  </si>
  <si>
    <t>UCS ANGLET</t>
  </si>
  <si>
    <t>V.C.AREDIEN</t>
  </si>
  <si>
    <t>VTT EVASION POURPRE</t>
  </si>
  <si>
    <t>FREE RIDER CLUB</t>
  </si>
  <si>
    <t>URT VELO 64</t>
  </si>
  <si>
    <t>TEAM CYCLISME SUPER U ROUILLAC</t>
  </si>
  <si>
    <t>GIRONDINS DE BORDEAUX</t>
  </si>
  <si>
    <t>VC NAYAIS</t>
  </si>
  <si>
    <t>VTT HAUT LIMOUSIN</t>
  </si>
  <si>
    <t>TEAM SAINT SAUVEUR</t>
  </si>
  <si>
    <t>VTT SOURZAC</t>
  </si>
  <si>
    <t>GUIDON MACARIEN</t>
  </si>
  <si>
    <t>VC SALISIEN</t>
  </si>
  <si>
    <t>LES BLAIREAUX DE LIGUEUX</t>
  </si>
  <si>
    <t>VTT LESCAR EVASION</t>
  </si>
  <si>
    <t>MARCILLAC VS</t>
  </si>
  <si>
    <t>MERIGNAC VC</t>
  </si>
  <si>
    <t>RAID N TRAIL</t>
  </si>
  <si>
    <t>VC CORME-ROYAL</t>
  </si>
  <si>
    <t>SA MERIGNAC</t>
  </si>
  <si>
    <t>VCC MARENNES</t>
  </si>
  <si>
    <t>SC BRAUD ST LOUIS</t>
  </si>
  <si>
    <t>STADE BORDELAIS BMX</t>
  </si>
  <si>
    <t>TEAM FARGUES CYCLES GUEREAU</t>
  </si>
  <si>
    <t>UC ARCACHON</t>
  </si>
  <si>
    <t>UC BREDOISE</t>
  </si>
  <si>
    <t>UC GRADIGNAN</t>
  </si>
  <si>
    <t>US BOUSCATAISE BMX</t>
  </si>
  <si>
    <t>US RAUZAN</t>
  </si>
  <si>
    <t>US VILLENAVAISE CYCLISME</t>
  </si>
  <si>
    <t>VC BAZAS/BERNOS BEAULAC</t>
  </si>
  <si>
    <t>VC DU BOURGEAIS</t>
  </si>
  <si>
    <t>VTT ESTUAIRE CLUB GAURIAC</t>
  </si>
  <si>
    <t>LA PEDALE JONZACAISE</t>
  </si>
  <si>
    <t>ORANGES MECANIQUES TEAM CHEPNIERS</t>
  </si>
  <si>
    <t>TEAM 4A17</t>
  </si>
  <si>
    <t>CLUB SIGNALEUR MOTOCYCLISTE TEAM CSM19</t>
  </si>
  <si>
    <t>AC BOURGANEUF</t>
  </si>
  <si>
    <t>ANC DUN LE PALESTEL</t>
  </si>
  <si>
    <t>AS FRANSECHES</t>
  </si>
  <si>
    <t>CC MAINSAT EVAUX</t>
  </si>
  <si>
    <t>ESC LE GRAND-BOURG</t>
  </si>
  <si>
    <t>UC BOUSSAC</t>
  </si>
  <si>
    <t>UC FELLETIN EN CREUSE</t>
  </si>
  <si>
    <t>VC AUBUSSON</t>
  </si>
  <si>
    <t>VC GOUZON</t>
  </si>
  <si>
    <t>VC LA SOUTERRAINE</t>
  </si>
  <si>
    <t>CREON VELO CLUB</t>
  </si>
  <si>
    <t>TEAM KBL 33</t>
  </si>
  <si>
    <t>URC PREIGNAC</t>
  </si>
  <si>
    <t>US BOUSCATAISE CYCLISME</t>
  </si>
  <si>
    <t>BASKOLAND VTT</t>
  </si>
  <si>
    <t>ESCAPADE EXCITED RIDERS</t>
  </si>
  <si>
    <t>TSA UNIBALLER</t>
  </si>
  <si>
    <t>UC FUMEL MONSEMPRON LIBOS</t>
  </si>
  <si>
    <t>ASSAT VTT CLUB</t>
  </si>
  <si>
    <t>BEARN VTT 64</t>
  </si>
  <si>
    <t>CC NANTEUILLAIS</t>
  </si>
  <si>
    <t>CD.16</t>
  </si>
  <si>
    <t>CD.17</t>
  </si>
  <si>
    <t>CD.19</t>
  </si>
  <si>
    <t>CD.23</t>
  </si>
  <si>
    <t>CD.24</t>
  </si>
  <si>
    <t>CD.33</t>
  </si>
  <si>
    <t>CD.40</t>
  </si>
  <si>
    <t>CD.47</t>
  </si>
  <si>
    <t>CD.64</t>
  </si>
  <si>
    <t>CD.79</t>
  </si>
  <si>
    <t>CD.86</t>
  </si>
  <si>
    <t>CD.87</t>
  </si>
  <si>
    <t>Cyclosportive</t>
  </si>
  <si>
    <t>Licence Accueil Jeune</t>
  </si>
  <si>
    <t>Assistance Organisation</t>
  </si>
  <si>
    <t>Jeune Arbitre</t>
  </si>
  <si>
    <t>Département :</t>
  </si>
  <si>
    <t>TOTAL</t>
  </si>
  <si>
    <t>Club :</t>
  </si>
  <si>
    <t>n°</t>
  </si>
  <si>
    <t>Bordereau n°</t>
  </si>
  <si>
    <t>N°</t>
  </si>
  <si>
    <t>Comité Nouvelle-Aquitaine de Cyclisme</t>
  </si>
  <si>
    <t>Siège : 13 Avenue de la Madeleine 33170 GRADIGNAN</t>
  </si>
  <si>
    <t>Antennes : 142 Avenue Emile Labussière 87100 LIMOGES &amp; 4 Rue du Baron 79190 SAUZE-VAUSSAIS</t>
  </si>
  <si>
    <t>Tél. : 05.56.47.38.99 - Mail : contact@nouvelleaquitaine-cyclisme.fr - Site : www.nouvelleaquitaine-cyclisme.fr</t>
  </si>
  <si>
    <t>Date :</t>
  </si>
  <si>
    <r>
      <rPr>
        <sz val="8"/>
        <color theme="1"/>
        <rFont val="Calibri"/>
        <family val="2"/>
      </rPr>
      <t xml:space="preserve">→ </t>
    </r>
    <r>
      <rPr>
        <sz val="8"/>
        <color theme="1"/>
        <rFont val="Calibri"/>
        <family val="2"/>
        <scheme val="minor"/>
      </rPr>
      <t>IBAN : FR76 1330 6001 2600 0948 0010 394   /   BIC-SWIFT : AGRIFRPP833</t>
    </r>
  </si>
  <si>
    <r>
      <rPr>
        <sz val="8"/>
        <color theme="1"/>
        <rFont val="Calibri"/>
        <family val="2"/>
      </rPr>
      <t xml:space="preserve">→ </t>
    </r>
    <r>
      <rPr>
        <sz val="8"/>
        <color theme="1"/>
        <rFont val="Calibri"/>
        <family val="2"/>
        <scheme val="minor"/>
      </rPr>
      <t>en cochant, vous acceptez d'être prélevé de la somme mentionnée sur ce bordereau</t>
    </r>
  </si>
  <si>
    <t>OBLIGATOIRE : Mode de Paiement choisi</t>
  </si>
  <si>
    <t>Virement*</t>
  </si>
  <si>
    <t>AFFILIATION</t>
  </si>
  <si>
    <t>/</t>
  </si>
  <si>
    <t xml:space="preserve">Paiement effectué le </t>
  </si>
  <si>
    <r>
      <rPr>
        <i/>
        <sz val="10"/>
        <color theme="1"/>
        <rFont val="Calibri"/>
        <family val="2"/>
        <scheme val="minor"/>
      </rPr>
      <t xml:space="preserve">   *</t>
    </r>
    <r>
      <rPr>
        <i/>
        <sz val="8"/>
        <color theme="1"/>
        <rFont val="Calibri"/>
        <family val="2"/>
        <scheme val="minor"/>
      </rPr>
      <t xml:space="preserve"> mentionnez le n° du bordereau dans la référence de votre virement &amp; joignez la preuve de virement à ce bordereau</t>
    </r>
  </si>
  <si>
    <t>ROUTE</t>
  </si>
  <si>
    <t>VTT</t>
  </si>
  <si>
    <t>PISTE</t>
  </si>
  <si>
    <t>XCE</t>
  </si>
  <si>
    <t>XCO</t>
  </si>
  <si>
    <t>DH</t>
  </si>
  <si>
    <t>GRAVEL</t>
  </si>
  <si>
    <t>Trial</t>
  </si>
  <si>
    <t>Enduro</t>
  </si>
  <si>
    <t>Rando</t>
  </si>
  <si>
    <t>Toutes Cat.</t>
  </si>
  <si>
    <t>Promo</t>
  </si>
  <si>
    <t>Réunion</t>
  </si>
  <si>
    <t>Ecoles Vélo</t>
  </si>
  <si>
    <t>Samedi Cycl.</t>
  </si>
  <si>
    <t>CLM</t>
  </si>
  <si>
    <t>Inter-Club</t>
  </si>
  <si>
    <t>BMX</t>
  </si>
  <si>
    <t>Coupe NA</t>
  </si>
  <si>
    <t>Cyclo</t>
  </si>
  <si>
    <t>Elite Nat.</t>
  </si>
  <si>
    <t>CLUBS</t>
  </si>
  <si>
    <t>Epreuve</t>
  </si>
  <si>
    <t>ES : Epreuve Support</t>
  </si>
  <si>
    <t xml:space="preserve">   + : Epreuve Supplémentaire</t>
  </si>
  <si>
    <t>Nb</t>
  </si>
  <si>
    <t>Part Club</t>
  </si>
  <si>
    <t>Engagés par Internet</t>
  </si>
  <si>
    <r>
      <t xml:space="preserve">Engagés réguliers </t>
    </r>
    <r>
      <rPr>
        <sz val="8"/>
        <rFont val="Calibri"/>
        <family val="2"/>
        <scheme val="minor"/>
      </rPr>
      <t>(hors Internet)</t>
    </r>
  </si>
  <si>
    <t xml:space="preserve">perçus par CR sur cicleweb </t>
  </si>
  <si>
    <t>perçus par CLUB sur place</t>
  </si>
  <si>
    <t>RAPPEL</t>
  </si>
  <si>
    <t xml:space="preserve">Montant à régler au CLUB   </t>
  </si>
  <si>
    <t xml:space="preserve">Montant à régler au CR   </t>
  </si>
  <si>
    <t>BORDEREAU</t>
  </si>
  <si>
    <t>Reversion Engagements</t>
  </si>
  <si>
    <t>Date Epreuve :</t>
  </si>
  <si>
    <t xml:space="preserve">Epreuve : </t>
  </si>
  <si>
    <r>
      <t>Chèque</t>
    </r>
    <r>
      <rPr>
        <sz val="10"/>
        <color theme="1"/>
        <rFont val="Calibri"/>
        <family val="2"/>
        <scheme val="minor"/>
      </rPr>
      <t xml:space="preserve"> (joint)</t>
    </r>
  </si>
  <si>
    <r>
      <t>Espèces</t>
    </r>
    <r>
      <rPr>
        <sz val="10"/>
        <color theme="1"/>
        <rFont val="Calibri"/>
        <family val="2"/>
        <scheme val="minor"/>
      </rPr>
      <t xml:space="preserve"> (jointes)</t>
    </r>
  </si>
  <si>
    <t>Reversion CD :</t>
  </si>
  <si>
    <t>- Si le montant est en faveur du club, le CR paie le club une fois le bordereau reçu et contrôlé</t>
  </si>
  <si>
    <t>- Si le montant est en faveur du CR, le club paie avec l’envoi de ce bordereau</t>
  </si>
  <si>
    <t>- Bordereau à joindre obligatoirement avec les Etats de Résultats de votre épreuve</t>
  </si>
  <si>
    <t>HG GREEN BIKE</t>
  </si>
  <si>
    <t>AS ACADEMY</t>
  </si>
  <si>
    <t>TRJV</t>
  </si>
  <si>
    <t>AC COSNAC</t>
  </si>
  <si>
    <t>U19+</t>
  </si>
  <si>
    <t>CLUB</t>
  </si>
  <si>
    <t>CD</t>
  </si>
  <si>
    <t>Part FFC</t>
  </si>
  <si>
    <t>Part FFC = FFC + CR + CD</t>
  </si>
  <si>
    <t>U17-</t>
  </si>
  <si>
    <t>Prélèvement</t>
  </si>
  <si>
    <t>C.CROSS</t>
  </si>
  <si>
    <t>El+Op123+Ac</t>
  </si>
  <si>
    <t>XCC</t>
  </si>
  <si>
    <t>El+Op123</t>
  </si>
  <si>
    <t>Proximité</t>
  </si>
  <si>
    <t>El+Op12</t>
  </si>
  <si>
    <t>XCR</t>
  </si>
  <si>
    <t>Ch. Dep.</t>
  </si>
  <si>
    <t>El+Op1</t>
  </si>
  <si>
    <t>Op123+Ac</t>
  </si>
  <si>
    <t>Op123</t>
  </si>
  <si>
    <t>Op12</t>
  </si>
  <si>
    <t>Op1</t>
  </si>
  <si>
    <t>Jeunes 1D</t>
  </si>
  <si>
    <t>Op23+Ac</t>
  </si>
  <si>
    <t>Jeunes 2D</t>
  </si>
  <si>
    <t>Op23</t>
  </si>
  <si>
    <t>Op2</t>
  </si>
  <si>
    <t>Vetathlon</t>
  </si>
  <si>
    <t>Op3+Ac</t>
  </si>
  <si>
    <t>Op3</t>
  </si>
  <si>
    <t>Access</t>
  </si>
  <si>
    <t>U23</t>
  </si>
  <si>
    <t>U19</t>
  </si>
  <si>
    <t>Nat. U19</t>
  </si>
  <si>
    <t>U17</t>
  </si>
  <si>
    <t>U15</t>
  </si>
  <si>
    <t>Fem. Elite Nat.</t>
  </si>
  <si>
    <t>Fem. Ttes Cat</t>
  </si>
  <si>
    <t>Fem. U15-17</t>
  </si>
  <si>
    <t>Par Handicap</t>
  </si>
  <si>
    <t>Handisport</t>
  </si>
  <si>
    <t>Gentlemen</t>
  </si>
  <si>
    <t>Duathlon</t>
  </si>
  <si>
    <t>Cyclathlon</t>
  </si>
  <si>
    <t>Master</t>
  </si>
  <si>
    <t>AC JARNAC AIGRE ROUILLAC</t>
  </si>
  <si>
    <t>APOGE CYCLISTE</t>
  </si>
  <si>
    <t>AGEN VS</t>
  </si>
  <si>
    <t>ACCOUS VTT</t>
  </si>
  <si>
    <t>AC CHATELLERAUDAIS</t>
  </si>
  <si>
    <t>AC LIMOGES BUSSIERE POITEVINE</t>
  </si>
  <si>
    <t>AC NERSAC</t>
  </si>
  <si>
    <t>AC D'ANDILLY ET SERIGNY</t>
  </si>
  <si>
    <t>ASPTT BRIVE AGGLO VÉLO</t>
  </si>
  <si>
    <t>AS LE HAILLAN VELO</t>
  </si>
  <si>
    <t>AC NEUVILLE</t>
  </si>
  <si>
    <t>AC RILHAC RANCON</t>
  </si>
  <si>
    <t>BRIVE-AGGLO-CYCLISME</t>
  </si>
  <si>
    <t>CD CREUSE</t>
  </si>
  <si>
    <t>CD LANDES</t>
  </si>
  <si>
    <t>CD LOT-ET-GARONNE</t>
  </si>
  <si>
    <t>BRESSUIRE AC</t>
  </si>
  <si>
    <t>ACCAC VIENNE</t>
  </si>
  <si>
    <t>AMBAZAC SC</t>
  </si>
  <si>
    <t>AC4B</t>
  </si>
  <si>
    <t>AC MACQUEVILLOIS 17</t>
  </si>
  <si>
    <t>CD CORREZE</t>
  </si>
  <si>
    <t>CO TOUR DE LA CREUSE</t>
  </si>
  <si>
    <t>CD DORDOGNE</t>
  </si>
  <si>
    <t>ASCPA GROUPEMENT MOTO ESCORTE FFC</t>
  </si>
  <si>
    <t>CYCLO CHALOSSE TURSAN</t>
  </si>
  <si>
    <t>CD DEUX-SEVRES</t>
  </si>
  <si>
    <t>CA CIVRAISIEN</t>
  </si>
  <si>
    <t>AC NIEUL LES SAINTES</t>
  </si>
  <si>
    <t>CO TC DEUX SEVRES</t>
  </si>
  <si>
    <t>CD VIENNE</t>
  </si>
  <si>
    <t>BMX CLUB DE LIMOGES</t>
  </si>
  <si>
    <t>ANGOULEME VC</t>
  </si>
  <si>
    <t>CSL CHAMBERET</t>
  </si>
  <si>
    <t>CD PYRENEES-ATLANTIQUES</t>
  </si>
  <si>
    <t>CYCLE CHEF BOUTONNAIS</t>
  </si>
  <si>
    <t>CYCLE POITEVIN</t>
  </si>
  <si>
    <t>CD CHARENTE</t>
  </si>
  <si>
    <t>CYCLO TOURISME OBJATOIS</t>
  </si>
  <si>
    <t>ROQUEFORT SARBAZAN SN</t>
  </si>
  <si>
    <t>EC PASSAGEOISE</t>
  </si>
  <si>
    <t>JPC LUSSAC</t>
  </si>
  <si>
    <t>CO COURONNAIS</t>
  </si>
  <si>
    <t>BMX LA ROCHELLE</t>
  </si>
  <si>
    <t>BORDEAUX LOIRE VALLEY CC</t>
  </si>
  <si>
    <t>CD HAUTE-VIENNE</t>
  </si>
  <si>
    <t>BORDEAUX SAINTES CO</t>
  </si>
  <si>
    <t>LA PERIGORDINE ORGA.</t>
  </si>
  <si>
    <t>JURANCON CC</t>
  </si>
  <si>
    <t>UCC VIVONNE</t>
  </si>
  <si>
    <t>COGNAC CYCLISME FEMININ</t>
  </si>
  <si>
    <t>UC BRIVISTE</t>
  </si>
  <si>
    <t>PSF NIORT</t>
  </si>
  <si>
    <t>US CHAUVIGNY C.</t>
  </si>
  <si>
    <t>CRC LIMOGES 87</t>
  </si>
  <si>
    <t>ES BARDENAC LE FOUILLOUX</t>
  </si>
  <si>
    <t>CC SAINT AGNANT</t>
  </si>
  <si>
    <t>UV POITIERS</t>
  </si>
  <si>
    <t>EC AMBAZAC</t>
  </si>
  <si>
    <t>CC VERVANT</t>
  </si>
  <si>
    <t>TC VERTEILLACOISE</t>
  </si>
  <si>
    <t>US DACQUOISE</t>
  </si>
  <si>
    <t>PAU BMX CLUB</t>
  </si>
  <si>
    <t>TEAM EVASION NATURE</t>
  </si>
  <si>
    <t>VC LOUDUN</t>
  </si>
  <si>
    <t>ROCHECHOUART OCC</t>
  </si>
  <si>
    <t>CD CHARENTE-MARITIME</t>
  </si>
  <si>
    <t>UC MONTPONNAISE</t>
  </si>
  <si>
    <t>VC DU BRULHOIS ET DE L'AGENAIS</t>
  </si>
  <si>
    <t>VC CHATILLONNAIS</t>
  </si>
  <si>
    <t>VC MONTMORILLON</t>
  </si>
  <si>
    <t>JARNAC VTT</t>
  </si>
  <si>
    <t>VC MONPAZIER</t>
  </si>
  <si>
    <t>CC LAPOUYADAIS</t>
  </si>
  <si>
    <t>VC SAINTE LIVRADE</t>
  </si>
  <si>
    <t>VC SAINT MAIXENT</t>
  </si>
  <si>
    <t>VELOPHILE NAINTRE</t>
  </si>
  <si>
    <t>TEAM COOP VELOCITE</t>
  </si>
  <si>
    <t>CC SAINT PALAIS DE BLAYE</t>
  </si>
  <si>
    <t>VC THOUARS</t>
  </si>
  <si>
    <t>UA LA ROCHEFOUCAULD</t>
  </si>
  <si>
    <t>FSSH CYCLISME</t>
  </si>
  <si>
    <t>CD GIRONDE</t>
  </si>
  <si>
    <t>SPUC VELO KIROLAK</t>
  </si>
  <si>
    <t>UC CONDAT</t>
  </si>
  <si>
    <t>UC CONFOLENS</t>
  </si>
  <si>
    <t>CERCLE NOUVELLE-AQUITAINE</t>
  </si>
  <si>
    <t>UC BENEJACQUOISE</t>
  </si>
  <si>
    <t>UV LIMOGES - TEAM U87</t>
  </si>
  <si>
    <t>UV COGNAC</t>
  </si>
  <si>
    <t>VC ST PRIEST SOUS AIXE</t>
  </si>
  <si>
    <t>VC OUEST CHARENTE SEGONZAC</t>
  </si>
  <si>
    <t>VTT MONTAGRIER SL</t>
  </si>
  <si>
    <t>EC ST FELIX DE FONCAUDE</t>
  </si>
  <si>
    <t>PC OLERONAIS</t>
  </si>
  <si>
    <t>TC LE CHATEAU D'OLERON</t>
  </si>
  <si>
    <t>UV ANGERIENNE</t>
  </si>
  <si>
    <t>XENDRAZKOAK</t>
  </si>
  <si>
    <t>VC BRAQUET LIDONNAIS</t>
  </si>
  <si>
    <t>VC CHAMPAGNOLLES</t>
  </si>
  <si>
    <t>PEUJARD VC - SECTION COMPETITION</t>
  </si>
  <si>
    <t>VC GUATAIS</t>
  </si>
  <si>
    <t>VC MATHALIEN</t>
  </si>
  <si>
    <t>VC ROCHEFORT</t>
  </si>
  <si>
    <t>SECURITE MOTO ASSISTANCE NA</t>
  </si>
  <si>
    <t>VC SAINTAIS</t>
  </si>
  <si>
    <t>VCCO LA ROCHELLE</t>
  </si>
  <si>
    <t>TEAM STS</t>
  </si>
  <si>
    <t>VC SUD GIRONDE</t>
  </si>
  <si>
    <t>Elite</t>
  </si>
  <si>
    <t>Open</t>
  </si>
  <si>
    <t>Epreuve de masse</t>
  </si>
  <si>
    <t>Loisir (sans compet)</t>
  </si>
  <si>
    <t>U7-U17</t>
  </si>
  <si>
    <t>5016243</t>
  </si>
  <si>
    <t>Jeune Arbitre 14-18</t>
  </si>
  <si>
    <t>Pass Accueil Jeune (-17)</t>
  </si>
  <si>
    <t>Pass Découverte Jeune (+17)</t>
  </si>
  <si>
    <t>Affiliation Club : 1ère affiliation</t>
  </si>
  <si>
    <t>Affiliation Club : Renouvellement</t>
  </si>
  <si>
    <t>Affiliation Vélodrome</t>
  </si>
  <si>
    <t>5017246</t>
  </si>
  <si>
    <t>5017029</t>
  </si>
  <si>
    <t>5017232</t>
  </si>
  <si>
    <t>5017032</t>
  </si>
  <si>
    <t>5017038</t>
  </si>
  <si>
    <t>5017045</t>
  </si>
  <si>
    <t>5017050</t>
  </si>
  <si>
    <t>5017031</t>
  </si>
  <si>
    <t>5017030</t>
  </si>
  <si>
    <t>5019005</t>
  </si>
  <si>
    <t>5019022</t>
  </si>
  <si>
    <t>BRIVE AGGLO CYCLISME</t>
  </si>
  <si>
    <t>5019006</t>
  </si>
  <si>
    <t>5019024</t>
  </si>
  <si>
    <t>5019023</t>
  </si>
  <si>
    <t>5019007</t>
  </si>
  <si>
    <t>5019004</t>
  </si>
  <si>
    <t>5019019</t>
  </si>
  <si>
    <t>5019011</t>
  </si>
  <si>
    <t>5019002</t>
  </si>
  <si>
    <t>5023022</t>
  </si>
  <si>
    <t>5023031</t>
  </si>
  <si>
    <t>5023033</t>
  </si>
  <si>
    <t>5023029</t>
  </si>
  <si>
    <t>5023023</t>
  </si>
  <si>
    <t>5023025</t>
  </si>
  <si>
    <t>5023001</t>
  </si>
  <si>
    <t>5023027</t>
  </si>
  <si>
    <t>5023032</t>
  </si>
  <si>
    <t>5023028</t>
  </si>
  <si>
    <t>5024276</t>
  </si>
  <si>
    <t>5024258</t>
  </si>
  <si>
    <t>5024292</t>
  </si>
  <si>
    <t>5024255</t>
  </si>
  <si>
    <t>5024260</t>
  </si>
  <si>
    <t>5024263</t>
  </si>
  <si>
    <t>5024252</t>
  </si>
  <si>
    <t>5024267</t>
  </si>
  <si>
    <t>5024293</t>
  </si>
  <si>
    <t>5024268</t>
  </si>
  <si>
    <t>5024270</t>
  </si>
  <si>
    <t>5024280</t>
  </si>
  <si>
    <t>5024264</t>
  </si>
  <si>
    <t>5024269</t>
  </si>
  <si>
    <t>5024273</t>
  </si>
  <si>
    <t>5024275</t>
  </si>
  <si>
    <t>5024283</t>
  </si>
  <si>
    <t>5033066</t>
  </si>
  <si>
    <t>5033009</t>
  </si>
  <si>
    <t>5033057</t>
  </si>
  <si>
    <t>5033011</t>
  </si>
  <si>
    <t>5033080</t>
  </si>
  <si>
    <t>5033078</t>
  </si>
  <si>
    <t>5033070</t>
  </si>
  <si>
    <t>5033012</t>
  </si>
  <si>
    <t>5033014</t>
  </si>
  <si>
    <t>5033074</t>
  </si>
  <si>
    <t>5033079</t>
  </si>
  <si>
    <t>5033043</t>
  </si>
  <si>
    <t>5033068</t>
  </si>
  <si>
    <t>5033004</t>
  </si>
  <si>
    <t>5033042</t>
  </si>
  <si>
    <t>5033039</t>
  </si>
  <si>
    <t>5033017</t>
  </si>
  <si>
    <t>5033034</t>
  </si>
  <si>
    <t>5033062</t>
  </si>
  <si>
    <t>5033020</t>
  </si>
  <si>
    <t>5033049</t>
  </si>
  <si>
    <t>5033026</t>
  </si>
  <si>
    <t>5033001</t>
  </si>
  <si>
    <t>5033094</t>
  </si>
  <si>
    <t>5033096</t>
  </si>
  <si>
    <t>5033033</t>
  </si>
  <si>
    <t>SECURITE MOTO ASSISTANCE NOA</t>
  </si>
  <si>
    <t>5033038</t>
  </si>
  <si>
    <t>5033064</t>
  </si>
  <si>
    <t>5033008</t>
  </si>
  <si>
    <t>5033061</t>
  </si>
  <si>
    <t>5033067</t>
  </si>
  <si>
    <t>5033036</t>
  </si>
  <si>
    <t>5033047</t>
  </si>
  <si>
    <t>5033040</t>
  </si>
  <si>
    <t>5033044</t>
  </si>
  <si>
    <t>5033045</t>
  </si>
  <si>
    <t>5033046</t>
  </si>
  <si>
    <t>5033051</t>
  </si>
  <si>
    <t>5033015</t>
  </si>
  <si>
    <t>5033056</t>
  </si>
  <si>
    <t>5033091</t>
  </si>
  <si>
    <t>5040001</t>
  </si>
  <si>
    <t>5040155</t>
  </si>
  <si>
    <t>5040156</t>
  </si>
  <si>
    <t>5040164</t>
  </si>
  <si>
    <t>5040167</t>
  </si>
  <si>
    <t>5040173</t>
  </si>
  <si>
    <t>5040160</t>
  </si>
  <si>
    <t>5040163</t>
  </si>
  <si>
    <t>5040162</t>
  </si>
  <si>
    <t>5040171</t>
  </si>
  <si>
    <t>5040166</t>
  </si>
  <si>
    <t>5047232</t>
  </si>
  <si>
    <t>5047207</t>
  </si>
  <si>
    <t>5047230</t>
  </si>
  <si>
    <t>5047206</t>
  </si>
  <si>
    <t>5047002</t>
  </si>
  <si>
    <t>5047204</t>
  </si>
  <si>
    <t>5047226</t>
  </si>
  <si>
    <t>5047208</t>
  </si>
  <si>
    <t>5047219</t>
  </si>
  <si>
    <t>5047201</t>
  </si>
  <si>
    <t>5047220</t>
  </si>
  <si>
    <t>5047231</t>
  </si>
  <si>
    <t>5047216</t>
  </si>
  <si>
    <t>5064310</t>
  </si>
  <si>
    <t>5064357</t>
  </si>
  <si>
    <t>5064311</t>
  </si>
  <si>
    <t>5064335</t>
  </si>
  <si>
    <t>5064356</t>
  </si>
  <si>
    <t>5064347</t>
  </si>
  <si>
    <t>5064318</t>
  </si>
  <si>
    <t>5064317</t>
  </si>
  <si>
    <t>5064320</t>
  </si>
  <si>
    <t>5064334</t>
  </si>
  <si>
    <t>5064351</t>
  </si>
  <si>
    <t>5064312</t>
  </si>
  <si>
    <t>5064324</t>
  </si>
  <si>
    <t>5064323</t>
  </si>
  <si>
    <t>5064348</t>
  </si>
  <si>
    <t>5064331</t>
  </si>
  <si>
    <t>5064326</t>
  </si>
  <si>
    <t>5064327</t>
  </si>
  <si>
    <t>5064337</t>
  </si>
  <si>
    <t>5064330</t>
  </si>
  <si>
    <t>5064332</t>
  </si>
  <si>
    <t>5064336</t>
  </si>
  <si>
    <t>5064339</t>
  </si>
  <si>
    <t>5079228</t>
  </si>
  <si>
    <t>5079130</t>
  </si>
  <si>
    <t>5079165</t>
  </si>
  <si>
    <t>5079211</t>
  </si>
  <si>
    <t>5079083</t>
  </si>
  <si>
    <t>5079180</t>
  </si>
  <si>
    <t>5079225</t>
  </si>
  <si>
    <t>5079125</t>
  </si>
  <si>
    <t>5079059</t>
  </si>
  <si>
    <t>5079175</t>
  </si>
  <si>
    <t>5079245</t>
  </si>
  <si>
    <t>5079082</t>
  </si>
  <si>
    <t>5079117</t>
  </si>
  <si>
    <t>5079060</t>
  </si>
  <si>
    <t>5079222</t>
  </si>
  <si>
    <t>5086154</t>
  </si>
  <si>
    <t>5086192</t>
  </si>
  <si>
    <t>5086155</t>
  </si>
  <si>
    <t>5086063</t>
  </si>
  <si>
    <t>5086070</t>
  </si>
  <si>
    <t>5086066</t>
  </si>
  <si>
    <t>5086109</t>
  </si>
  <si>
    <t>5086105</t>
  </si>
  <si>
    <t>5086103</t>
  </si>
  <si>
    <t>5086071</t>
  </si>
  <si>
    <t>5086065</t>
  </si>
  <si>
    <t>5086067</t>
  </si>
  <si>
    <t>5087001</t>
  </si>
  <si>
    <t>5087031</t>
  </si>
  <si>
    <t>5087045</t>
  </si>
  <si>
    <t>5087042</t>
  </si>
  <si>
    <t>5087044</t>
  </si>
  <si>
    <t>5087054</t>
  </si>
  <si>
    <t>5087038</t>
  </si>
  <si>
    <t>5087029</t>
  </si>
  <si>
    <t>5087003</t>
  </si>
  <si>
    <t>5087019</t>
  </si>
  <si>
    <t>5087041</t>
  </si>
  <si>
    <t>5087009</t>
  </si>
  <si>
    <t>5087005</t>
  </si>
  <si>
    <t>5087043</t>
  </si>
  <si>
    <t>5087039</t>
  </si>
  <si>
    <t>5087006</t>
  </si>
  <si>
    <t>5087014</t>
  </si>
  <si>
    <t>5087055</t>
  </si>
  <si>
    <t>SUA CYCLISME</t>
  </si>
  <si>
    <t>VC  SUD GIRONDE</t>
  </si>
  <si>
    <t>US SAINT PALAIS AMIKUZE CYCLISME</t>
  </si>
  <si>
    <t>CYCLO CLUB BOSMIE L'AIGUILLE</t>
  </si>
  <si>
    <t>TEAM CYCLING ENDURANCE</t>
  </si>
  <si>
    <t>VELO SAUVAGE POITEVIN</t>
  </si>
  <si>
    <t>SPRINTER CLUB DU PERIGORD</t>
  </si>
  <si>
    <t>SPRINTER CLUB  DU PERIGORD</t>
  </si>
  <si>
    <t>Total Club = Part Club - SQORZ</t>
  </si>
  <si>
    <t>Engagés hors délai</t>
  </si>
  <si>
    <r>
      <t xml:space="preserve">- Pilotes excusés </t>
    </r>
    <r>
      <rPr>
        <sz val="8"/>
        <rFont val="Calibri"/>
        <family val="2"/>
        <scheme val="minor"/>
      </rPr>
      <t>(sur justificatif)</t>
    </r>
  </si>
  <si>
    <t xml:space="preserve">Montant SQORZ : </t>
  </si>
  <si>
    <t>U17 &amp; - 
20'' ET 24''</t>
  </si>
  <si>
    <t>U17 &amp; - 
20 ''</t>
  </si>
  <si>
    <t>U17 &amp; - 
24 ''</t>
  </si>
  <si>
    <t>U19 &amp; +
 20''</t>
  </si>
  <si>
    <t>U19 &amp; + 
24''</t>
  </si>
  <si>
    <t>U19 &amp; + 
20'' ET 24''</t>
  </si>
  <si>
    <t>AVENSAN VELO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</si>
</sst>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  <numFmt numFmtId="166" formatCode="[$-40C]d\ mmmm\ yyyy;@"/>
    <numFmt numFmtId="167" formatCode="#,##0.0\ &quot;€&quot;"/>
  </numFmts>
  <fonts count="3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6"/>
      <name val="Calibri"/>
      <family val="2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rgb="FF003399"/>
      <name val="Calibri"/>
      <family val="2"/>
    </font>
    <font>
      <b/>
      <sz val="12"/>
      <color rgb="FFC0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10"/>
      <name val="Calibri"/>
      <family val="2"/>
      <scheme val="minor"/>
    </font>
    <font>
      <strike/>
      <sz val="8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C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rgb="FFC00000"/>
      </bottom>
      <diagonal/>
    </border>
    <border>
      <left/>
      <right/>
      <top/>
      <bottom style="hair">
        <color theme="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hair">
        <color theme="2" tint="-0.749992370372631"/>
      </left>
      <right style="hair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1" applyFont="1" applyFill="1" applyAlignment="1" applyProtection="1">
      <alignment horizontal="center" vertical="center"/>
    </xf>
    <xf numFmtId="165" fontId="1" fillId="0" borderId="0" xfId="1" applyNumberFormat="1" applyFont="1" applyFill="1" applyAlignment="1" applyProtection="1">
      <alignment horizontal="center" vertical="center"/>
    </xf>
    <xf numFmtId="9" fontId="1" fillId="0" borderId="0" xfId="1" applyFont="1" applyAlignment="1" applyProtection="1">
      <alignment horizontal="center" vertical="center"/>
    </xf>
    <xf numFmtId="9" fontId="10" fillId="0" borderId="0" xfId="1" applyFont="1" applyAlignment="1" applyProtection="1">
      <alignment horizontal="left" vertical="center"/>
    </xf>
    <xf numFmtId="9" fontId="0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65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65" fontId="19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165" fontId="13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65" fontId="4" fillId="0" borderId="11" xfId="0" applyNumberFormat="1" applyFont="1" applyBorder="1" applyAlignment="1">
      <alignment vertical="center"/>
    </xf>
    <xf numFmtId="0" fontId="19" fillId="4" borderId="11" xfId="0" applyFont="1" applyFill="1" applyBorder="1" applyAlignment="1">
      <alignment horizontal="center" vertical="center"/>
    </xf>
    <xf numFmtId="167" fontId="4" fillId="5" borderId="0" xfId="2" applyNumberFormat="1" applyFont="1" applyFill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0" fontId="5" fillId="0" borderId="12" xfId="0" applyFont="1" applyBorder="1" applyAlignment="1">
      <alignment vertical="center"/>
    </xf>
    <xf numFmtId="0" fontId="19" fillId="0" borderId="0" xfId="0" applyFont="1"/>
    <xf numFmtId="0" fontId="28" fillId="0" borderId="0" xfId="0" applyFont="1"/>
    <xf numFmtId="0" fontId="29" fillId="0" borderId="0" xfId="0" applyFont="1"/>
    <xf numFmtId="0" fontId="5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8" borderId="0" xfId="0" applyFont="1" applyFill="1" applyAlignment="1">
      <alignment horizontal="right" vertical="center"/>
    </xf>
    <xf numFmtId="0" fontId="34" fillId="0" borderId="0" xfId="0" applyFont="1"/>
    <xf numFmtId="0" fontId="1" fillId="6" borderId="0" xfId="0" applyFont="1" applyFill="1"/>
    <xf numFmtId="0" fontId="3" fillId="6" borderId="0" xfId="0" applyFont="1" applyFill="1"/>
    <xf numFmtId="0" fontId="4" fillId="6" borderId="0" xfId="0" applyFont="1" applyFill="1"/>
    <xf numFmtId="0" fontId="35" fillId="0" borderId="0" xfId="0" applyFont="1"/>
    <xf numFmtId="0" fontId="13" fillId="0" borderId="0" xfId="0" quotePrefix="1" applyFont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165" fontId="4" fillId="0" borderId="0" xfId="0" applyNumberFormat="1" applyFont="1" applyAlignment="1">
      <alignment vertical="center"/>
    </xf>
    <xf numFmtId="0" fontId="19" fillId="0" borderId="15" xfId="0" quotePrefix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19" fillId="0" borderId="0" xfId="0" quotePrefix="1" applyFont="1" applyAlignment="1">
      <alignment vertical="center"/>
    </xf>
    <xf numFmtId="0" fontId="4" fillId="0" borderId="18" xfId="0" applyFont="1" applyBorder="1" applyAlignment="1">
      <alignment vertical="center"/>
    </xf>
    <xf numFmtId="0" fontId="19" fillId="0" borderId="20" xfId="0" quotePrefix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165" fontId="12" fillId="2" borderId="2" xfId="0" applyNumberFormat="1" applyFont="1" applyFill="1" applyBorder="1" applyAlignment="1">
      <alignment horizontal="center" vertical="center"/>
    </xf>
    <xf numFmtId="165" fontId="12" fillId="2" borderId="13" xfId="0" applyNumberFormat="1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6" fontId="8" fillId="3" borderId="0" xfId="0" applyNumberFormat="1" applyFont="1" applyFill="1" applyAlignment="1" applyProtection="1">
      <alignment horizontal="center" vertical="center"/>
      <protection locked="0"/>
    </xf>
    <xf numFmtId="0" fontId="19" fillId="4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11" xfId="0" quotePrefix="1" applyFont="1" applyBorder="1" applyAlignment="1">
      <alignment horizontal="left" vertical="center"/>
    </xf>
    <xf numFmtId="14" fontId="8" fillId="3" borderId="0" xfId="0" applyNumberFormat="1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left" vertical="center" shrinkToFit="1"/>
      <protection locked="0"/>
    </xf>
    <xf numFmtId="0" fontId="15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3" fillId="7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34" fillId="6" borderId="0" xfId="0" applyFont="1" applyFill="1"/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68</xdr:row>
      <xdr:rowOff>24042</xdr:rowOff>
    </xdr:from>
    <xdr:to>
      <xdr:col>14</xdr:col>
      <xdr:colOff>171449</xdr:colOff>
      <xdr:row>71</xdr:row>
      <xdr:rowOff>97951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10234842"/>
          <a:ext cx="2771774" cy="426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152399</xdr:rowOff>
    </xdr:from>
    <xdr:to>
      <xdr:col>2</xdr:col>
      <xdr:colOff>371475</xdr:colOff>
      <xdr:row>5</xdr:row>
      <xdr:rowOff>114300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399"/>
          <a:ext cx="1466850" cy="7810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160020</xdr:rowOff>
        </xdr:from>
        <xdr:to>
          <xdr:col>1</xdr:col>
          <xdr:colOff>30480</xdr:colOff>
          <xdr:row>47</xdr:row>
          <xdr:rowOff>22860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144780</xdr:rowOff>
        </xdr:from>
        <xdr:to>
          <xdr:col>1</xdr:col>
          <xdr:colOff>30480</xdr:colOff>
          <xdr:row>48</xdr:row>
          <xdr:rowOff>30480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144780</xdr:rowOff>
        </xdr:from>
        <xdr:to>
          <xdr:col>1</xdr:col>
          <xdr:colOff>30480</xdr:colOff>
          <xdr:row>49</xdr:row>
          <xdr:rowOff>30480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144780</xdr:rowOff>
        </xdr:from>
        <xdr:to>
          <xdr:col>1</xdr:col>
          <xdr:colOff>30480</xdr:colOff>
          <xdr:row>50</xdr:row>
          <xdr:rowOff>30480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_Nouvelle_Aquitaine/2023/Docs%20internes/2023-DO%20+%20Bordereau/NA2023%20-%20Bordereau%20Epreu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ereau Epr.-Aff.-CicleWeb"/>
      <sheetName val="Données"/>
      <sheetName val="Listes"/>
    </sheetNames>
    <sheetDataSet>
      <sheetData sheetId="0">
        <row r="6">
          <cell r="H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A6E1-B580-417E-8DE7-1F887264CE05}">
  <sheetPr>
    <pageSetUpPr fitToPage="1"/>
  </sheetPr>
  <dimension ref="A3:Z72"/>
  <sheetViews>
    <sheetView tabSelected="1" zoomScaleNormal="100" workbookViewId="0">
      <selection activeCell="C8" sqref="C8"/>
    </sheetView>
  </sheetViews>
  <sheetFormatPr baseColWidth="10" defaultColWidth="11.44140625" defaultRowHeight="14.4" x14ac:dyDescent="0.3"/>
  <cols>
    <col min="1" max="1" width="2.6640625" style="8" customWidth="1"/>
    <col min="2" max="2" width="13.6640625" style="15" customWidth="1"/>
    <col min="3" max="3" width="12.6640625" style="15" customWidth="1"/>
    <col min="4" max="4" width="7.6640625" style="15" customWidth="1"/>
    <col min="5" max="5" width="5.6640625" style="15" customWidth="1"/>
    <col min="6" max="6" width="7.6640625" style="15" customWidth="1"/>
    <col min="7" max="7" width="5.6640625" style="15" customWidth="1"/>
    <col min="8" max="8" width="7.6640625" style="15" customWidth="1"/>
    <col min="9" max="9" width="5.6640625" style="20" customWidth="1"/>
    <col min="10" max="10" width="0.88671875" style="15" customWidth="1"/>
    <col min="11" max="11" width="8.6640625" style="15" customWidth="1"/>
    <col min="12" max="12" width="0.88671875" style="15" customWidth="1"/>
    <col min="13" max="13" width="8.6640625" style="20" customWidth="1"/>
    <col min="14" max="14" width="8.6640625" style="16" customWidth="1"/>
    <col min="15" max="15" width="2.6640625" style="16" customWidth="1"/>
    <col min="16" max="16" width="8.6640625" style="15" hidden="1" customWidth="1"/>
    <col min="17" max="17" width="5.21875" style="15" hidden="1" customWidth="1"/>
    <col min="18" max="18" width="3.109375" style="15" hidden="1" customWidth="1"/>
    <col min="19" max="19" width="3.88671875" style="15" hidden="1" customWidth="1"/>
    <col min="20" max="20" width="3.109375" style="15" hidden="1" customWidth="1"/>
    <col min="21" max="21" width="3.88671875" style="15" hidden="1" customWidth="1"/>
    <col min="22" max="22" width="3.77734375" style="15" hidden="1" customWidth="1"/>
    <col min="23" max="23" width="3.88671875" style="15" hidden="1" customWidth="1"/>
    <col min="24" max="24" width="4.21875" style="15" hidden="1" customWidth="1"/>
    <col min="25" max="25" width="5.77734375" style="15" hidden="1" customWidth="1"/>
    <col min="26" max="26" width="13.33203125" style="15" hidden="1" customWidth="1"/>
    <col min="27" max="16384" width="11.44140625" style="15"/>
  </cols>
  <sheetData>
    <row r="3" spans="1:25" ht="20.100000000000001" customHeight="1" x14ac:dyDescent="0.3">
      <c r="A3" s="13"/>
      <c r="B3" s="13"/>
      <c r="C3" s="96"/>
      <c r="D3" s="14"/>
      <c r="E3" s="132" t="s">
        <v>251</v>
      </c>
      <c r="F3" s="132"/>
      <c r="G3" s="132"/>
      <c r="H3" s="132"/>
      <c r="I3" s="133" t="s">
        <v>252</v>
      </c>
      <c r="J3" s="133"/>
      <c r="K3" s="133"/>
      <c r="L3" s="133"/>
      <c r="M3" s="133"/>
      <c r="N3" s="133"/>
      <c r="O3" s="133"/>
    </row>
    <row r="4" spans="1:25" ht="15" customHeight="1" x14ac:dyDescent="0.3">
      <c r="D4" s="136">
        <v>2024</v>
      </c>
      <c r="G4" s="17"/>
      <c r="H4" s="17"/>
      <c r="I4" s="17"/>
      <c r="J4" s="17"/>
      <c r="K4" s="17"/>
      <c r="L4" s="17"/>
      <c r="M4" s="17"/>
      <c r="N4" s="17"/>
      <c r="O4" s="15"/>
    </row>
    <row r="5" spans="1:25" ht="15" customHeight="1" x14ac:dyDescent="0.3">
      <c r="D5" s="136"/>
      <c r="F5" s="18"/>
      <c r="G5" s="36" t="s">
        <v>202</v>
      </c>
      <c r="H5" s="134" t="str">
        <f ca="1">Données!F45</f>
        <v>4737</v>
      </c>
      <c r="I5" s="134"/>
      <c r="J5" s="18"/>
      <c r="K5" s="19" t="s">
        <v>208</v>
      </c>
      <c r="L5" s="135">
        <f ca="1">TODAY()</f>
        <v>45476</v>
      </c>
      <c r="M5" s="135"/>
      <c r="N5" s="135"/>
      <c r="O5" s="15"/>
    </row>
    <row r="6" spans="1:25" ht="11.25" customHeight="1" x14ac:dyDescent="0.3">
      <c r="F6" s="18"/>
      <c r="G6" s="36"/>
      <c r="H6" s="77"/>
      <c r="I6" s="77"/>
      <c r="J6" s="18"/>
      <c r="K6" s="19"/>
      <c r="L6" s="78"/>
      <c r="M6" s="78"/>
      <c r="N6" s="78"/>
      <c r="O6" s="15"/>
    </row>
    <row r="7" spans="1:25" ht="5.0999999999999996" customHeight="1" x14ac:dyDescent="0.3">
      <c r="F7" s="17"/>
      <c r="G7" s="17"/>
      <c r="H7" s="17"/>
      <c r="I7" s="17"/>
      <c r="J7" s="17"/>
      <c r="K7" s="17"/>
      <c r="L7" s="16"/>
      <c r="M7" s="16"/>
      <c r="N7" s="15"/>
      <c r="O7" s="15"/>
    </row>
    <row r="8" spans="1:25" s="18" customFormat="1" ht="15" customHeight="1" x14ac:dyDescent="0.3">
      <c r="B8" s="19" t="s">
        <v>198</v>
      </c>
      <c r="C8" s="76"/>
      <c r="E8" s="21" t="s">
        <v>200</v>
      </c>
      <c r="F8" s="131"/>
      <c r="G8" s="131"/>
      <c r="H8" s="131"/>
      <c r="I8" s="131"/>
      <c r="J8" s="131"/>
      <c r="K8" s="131"/>
      <c r="M8" s="21" t="s">
        <v>203</v>
      </c>
      <c r="N8" s="48" t="str">
        <f>IF(F8="","",VLOOKUP(F8,Données!B2:D273,2,FALSE))</f>
        <v/>
      </c>
    </row>
    <row r="9" spans="1:25" s="8" customFormat="1" ht="5.0999999999999996" customHeight="1" x14ac:dyDescent="0.3">
      <c r="A9" s="39"/>
    </row>
    <row r="10" spans="1:25" s="8" customFormat="1" ht="15" customHeight="1" x14ac:dyDescent="0.3">
      <c r="D10" s="19" t="s">
        <v>253</v>
      </c>
      <c r="E10" s="130"/>
      <c r="F10" s="130"/>
      <c r="H10" s="19" t="s">
        <v>254</v>
      </c>
      <c r="I10" s="131"/>
      <c r="J10" s="131"/>
      <c r="K10" s="131"/>
      <c r="L10" s="131"/>
      <c r="M10" s="131"/>
      <c r="N10" s="131"/>
    </row>
    <row r="11" spans="1:25" s="8" customFormat="1" ht="10.199999999999999" x14ac:dyDescent="0.3">
      <c r="I11" s="39"/>
      <c r="M11" s="39"/>
      <c r="N11" s="16"/>
      <c r="O11" s="16"/>
    </row>
    <row r="12" spans="1:25" s="8" customFormat="1" ht="10.8" thickBot="1" x14ac:dyDescent="0.35">
      <c r="I12" s="39"/>
      <c r="M12" s="39"/>
      <c r="N12" s="16"/>
      <c r="O12" s="16"/>
    </row>
    <row r="13" spans="1:25" s="33" customFormat="1" ht="9.9" customHeight="1" x14ac:dyDescent="0.3">
      <c r="A13" s="57"/>
      <c r="B13" s="58"/>
      <c r="C13" s="58"/>
      <c r="D13" s="58"/>
      <c r="E13" s="58"/>
      <c r="F13" s="59"/>
      <c r="G13" s="59"/>
      <c r="H13" s="59"/>
      <c r="I13" s="59"/>
      <c r="J13" s="58"/>
      <c r="K13" s="58"/>
      <c r="L13" s="58"/>
      <c r="M13" s="58"/>
      <c r="N13" s="58"/>
      <c r="O13" s="60"/>
    </row>
    <row r="14" spans="1:25" s="33" customFormat="1" ht="12.75" customHeight="1" x14ac:dyDescent="0.3">
      <c r="A14" s="61"/>
      <c r="B14" s="137" t="s">
        <v>234</v>
      </c>
      <c r="D14" s="127" t="s">
        <v>623</v>
      </c>
      <c r="E14" s="127"/>
      <c r="F14" s="127" t="s">
        <v>624</v>
      </c>
      <c r="G14" s="127"/>
      <c r="H14" s="127" t="s">
        <v>622</v>
      </c>
      <c r="I14" s="127"/>
      <c r="N14" s="49" t="s">
        <v>269</v>
      </c>
      <c r="O14" s="62"/>
      <c r="P14" s="8"/>
      <c r="Q14" s="8"/>
    </row>
    <row r="15" spans="1:25" s="33" customFormat="1" ht="12.75" customHeight="1" x14ac:dyDescent="0.3">
      <c r="A15" s="61"/>
      <c r="B15" s="137"/>
      <c r="D15" s="127"/>
      <c r="E15" s="127"/>
      <c r="F15" s="127"/>
      <c r="G15" s="127"/>
      <c r="H15" s="127"/>
      <c r="I15" s="127"/>
      <c r="M15" s="52" t="s">
        <v>618</v>
      </c>
      <c r="N15" s="49"/>
      <c r="O15" s="62"/>
      <c r="P15" s="8"/>
      <c r="Q15" s="8"/>
    </row>
    <row r="16" spans="1:25" s="33" customFormat="1" ht="12.75" customHeight="1" x14ac:dyDescent="0.3">
      <c r="A16" s="61"/>
      <c r="D16" s="81" t="s">
        <v>3</v>
      </c>
      <c r="E16" s="81" t="s">
        <v>242</v>
      </c>
      <c r="F16" s="81" t="s">
        <v>3</v>
      </c>
      <c r="G16" s="81" t="s">
        <v>242</v>
      </c>
      <c r="H16" s="81" t="s">
        <v>3</v>
      </c>
      <c r="I16" s="81" t="s">
        <v>242</v>
      </c>
      <c r="K16" s="81" t="s">
        <v>199</v>
      </c>
      <c r="L16" s="50"/>
      <c r="M16" s="83" t="s">
        <v>243</v>
      </c>
      <c r="N16" s="83" t="s">
        <v>268</v>
      </c>
      <c r="O16" s="62"/>
      <c r="P16" s="8"/>
      <c r="R16" s="34" t="s">
        <v>5</v>
      </c>
      <c r="S16" s="34" t="s">
        <v>4</v>
      </c>
      <c r="T16" s="34"/>
      <c r="U16" s="34" t="s">
        <v>267</v>
      </c>
      <c r="V16" s="34" t="s">
        <v>266</v>
      </c>
      <c r="W16" s="34"/>
      <c r="Y16" s="33" t="s">
        <v>268</v>
      </c>
    </row>
    <row r="17" spans="1:25" s="13" customFormat="1" ht="12.75" customHeight="1" x14ac:dyDescent="0.3">
      <c r="A17" s="63"/>
      <c r="B17" s="128" t="s">
        <v>244</v>
      </c>
      <c r="C17" s="128"/>
      <c r="D17" s="80">
        <v>10.1</v>
      </c>
      <c r="E17" s="79"/>
      <c r="F17" s="80">
        <v>10.1</v>
      </c>
      <c r="G17" s="79"/>
      <c r="H17" s="80">
        <v>11.2</v>
      </c>
      <c r="I17" s="79"/>
      <c r="K17" s="82">
        <f>F17*G17+H17*I17+D17*E17</f>
        <v>0</v>
      </c>
      <c r="M17" s="82">
        <f>K17-N17</f>
        <v>0</v>
      </c>
      <c r="N17" s="82">
        <f>E17*Y$17+G17*Y$17+I17*Y$17</f>
        <v>0</v>
      </c>
      <c r="O17" s="64"/>
      <c r="P17" s="8"/>
      <c r="Q17" s="33" t="s">
        <v>270</v>
      </c>
      <c r="R17" s="34">
        <v>0</v>
      </c>
      <c r="S17" s="34">
        <v>3.7</v>
      </c>
      <c r="T17" s="34"/>
      <c r="U17" s="34">
        <v>0.5</v>
      </c>
      <c r="V17" s="34">
        <v>0</v>
      </c>
      <c r="W17" s="34">
        <v>5.8</v>
      </c>
      <c r="X17" s="85"/>
      <c r="Y17" s="84">
        <f>R17+S17+U17</f>
        <v>4.2</v>
      </c>
    </row>
    <row r="18" spans="1:25" s="13" customFormat="1" ht="12.75" customHeight="1" x14ac:dyDescent="0.3">
      <c r="A18" s="63"/>
      <c r="B18" s="128" t="s">
        <v>245</v>
      </c>
      <c r="C18" s="128"/>
      <c r="D18" s="80">
        <f>D17</f>
        <v>10.1</v>
      </c>
      <c r="E18" s="79"/>
      <c r="F18" s="80">
        <f>F17</f>
        <v>10.1</v>
      </c>
      <c r="G18" s="79"/>
      <c r="H18" s="80">
        <f>H17</f>
        <v>11.2</v>
      </c>
      <c r="I18" s="79"/>
      <c r="K18" s="82">
        <f>F18*G18+H18*I18+D18*E18</f>
        <v>0</v>
      </c>
      <c r="M18" s="82">
        <f>K18-N18</f>
        <v>0</v>
      </c>
      <c r="N18" s="82">
        <f>E18*Y$17+G18*Y$17+I18*Y$17</f>
        <v>0</v>
      </c>
      <c r="O18" s="64"/>
      <c r="P18" s="8"/>
      <c r="Q18" s="33" t="s">
        <v>265</v>
      </c>
      <c r="R18" s="34">
        <v>3.7</v>
      </c>
      <c r="S18" s="34">
        <v>3.35</v>
      </c>
      <c r="T18" s="34"/>
      <c r="U18" s="34">
        <v>0.35</v>
      </c>
      <c r="V18" s="34">
        <v>0.5</v>
      </c>
      <c r="W18" s="34">
        <v>2.6</v>
      </c>
      <c r="Y18" s="84">
        <f>R18+S18+U18</f>
        <v>7.4</v>
      </c>
    </row>
    <row r="19" spans="1:25" s="13" customFormat="1" ht="12.75" customHeight="1" x14ac:dyDescent="0.3">
      <c r="A19" s="63"/>
      <c r="B19" s="128" t="s">
        <v>619</v>
      </c>
      <c r="C19" s="128"/>
      <c r="D19" s="80">
        <f>D17*2-1.1</f>
        <v>19.099999999999998</v>
      </c>
      <c r="E19" s="79"/>
      <c r="F19" s="80">
        <f>F17*2-1.1</f>
        <v>19.099999999999998</v>
      </c>
      <c r="G19" s="79"/>
      <c r="H19" s="80">
        <f>H17*2-2.2</f>
        <v>20.2</v>
      </c>
      <c r="I19" s="79"/>
      <c r="K19" s="82">
        <f>F19*G19+H19*I19+D19*E19</f>
        <v>0</v>
      </c>
      <c r="M19" s="82">
        <f>K19-N19</f>
        <v>0</v>
      </c>
      <c r="N19" s="82">
        <f>E19*Y$17+G19*Y$17+I19*Y$17</f>
        <v>0</v>
      </c>
      <c r="O19" s="64"/>
      <c r="P19" s="8"/>
      <c r="Q19" s="8"/>
    </row>
    <row r="20" spans="1:25" s="13" customFormat="1" ht="12.75" customHeight="1" x14ac:dyDescent="0.3">
      <c r="A20" s="63"/>
      <c r="B20" s="129" t="s">
        <v>620</v>
      </c>
      <c r="C20" s="129"/>
      <c r="D20" s="80">
        <f>-D17</f>
        <v>-10.1</v>
      </c>
      <c r="E20" s="79"/>
      <c r="F20" s="80">
        <f>-F17</f>
        <v>-10.1</v>
      </c>
      <c r="G20" s="79"/>
      <c r="H20" s="80">
        <f>-H17</f>
        <v>-11.2</v>
      </c>
      <c r="I20" s="79"/>
      <c r="K20" s="82">
        <f>F20*G20+H20*I20+D20*E20</f>
        <v>0</v>
      </c>
      <c r="M20" s="82">
        <f>K20-N20</f>
        <v>0</v>
      </c>
      <c r="N20" s="82">
        <f>-(E20*Y$17+G20*Y$17+I20*Y$17)</f>
        <v>0</v>
      </c>
      <c r="O20" s="64"/>
      <c r="P20" s="8"/>
      <c r="Q20" s="8"/>
    </row>
    <row r="21" spans="1:25" s="13" customFormat="1" ht="12.75" customHeight="1" x14ac:dyDescent="0.3">
      <c r="A21" s="63"/>
      <c r="B21" s="102"/>
      <c r="C21" s="102"/>
      <c r="D21" s="103"/>
      <c r="E21" s="104"/>
      <c r="F21" s="103"/>
      <c r="G21" s="104"/>
      <c r="H21" s="103"/>
      <c r="I21" s="104"/>
      <c r="K21" s="105"/>
      <c r="M21" s="105"/>
      <c r="N21" s="105"/>
      <c r="O21" s="64"/>
      <c r="P21" s="8"/>
      <c r="Q21" s="8"/>
    </row>
    <row r="22" spans="1:25" s="13" customFormat="1" ht="12.75" customHeight="1" x14ac:dyDescent="0.3">
      <c r="A22" s="63"/>
      <c r="B22" s="102"/>
      <c r="C22" s="102"/>
      <c r="D22" s="127" t="s">
        <v>625</v>
      </c>
      <c r="E22" s="127"/>
      <c r="F22" s="127" t="s">
        <v>626</v>
      </c>
      <c r="G22" s="127"/>
      <c r="H22" s="127" t="s">
        <v>627</v>
      </c>
      <c r="I22" s="127"/>
      <c r="J22" s="33"/>
      <c r="K22" s="33"/>
      <c r="L22" s="33"/>
      <c r="M22" s="33"/>
      <c r="N22" s="49" t="s">
        <v>269</v>
      </c>
      <c r="O22" s="64"/>
      <c r="P22" s="8"/>
      <c r="Q22" s="8"/>
    </row>
    <row r="23" spans="1:25" s="13" customFormat="1" ht="12.75" customHeight="1" x14ac:dyDescent="0.3">
      <c r="A23" s="63"/>
      <c r="B23" s="102"/>
      <c r="C23" s="102"/>
      <c r="D23" s="127"/>
      <c r="E23" s="127"/>
      <c r="F23" s="127"/>
      <c r="G23" s="127"/>
      <c r="H23" s="127"/>
      <c r="I23" s="127"/>
      <c r="J23" s="33"/>
      <c r="K23" s="33"/>
      <c r="L23" s="33"/>
      <c r="M23" s="52" t="s">
        <v>618</v>
      </c>
      <c r="N23" s="33"/>
      <c r="O23" s="64"/>
      <c r="P23" s="8"/>
      <c r="Q23" s="8"/>
    </row>
    <row r="24" spans="1:25" s="13" customFormat="1" ht="12.75" customHeight="1" x14ac:dyDescent="0.3">
      <c r="A24" s="63"/>
      <c r="B24" s="102"/>
      <c r="C24" s="102"/>
      <c r="D24" s="81" t="s">
        <v>3</v>
      </c>
      <c r="E24" s="81" t="s">
        <v>242</v>
      </c>
      <c r="F24" s="81" t="s">
        <v>3</v>
      </c>
      <c r="G24" s="81" t="s">
        <v>242</v>
      </c>
      <c r="H24" s="81" t="s">
        <v>3</v>
      </c>
      <c r="I24" s="81" t="s">
        <v>242</v>
      </c>
      <c r="J24" s="33"/>
      <c r="K24" s="81" t="s">
        <v>199</v>
      </c>
      <c r="L24" s="50"/>
      <c r="M24" s="83" t="s">
        <v>243</v>
      </c>
      <c r="N24" s="83" t="s">
        <v>268</v>
      </c>
      <c r="O24" s="64"/>
      <c r="P24" s="8"/>
      <c r="Q24" s="8"/>
    </row>
    <row r="25" spans="1:25" s="13" customFormat="1" ht="12.75" customHeight="1" x14ac:dyDescent="0.3">
      <c r="A25" s="63"/>
      <c r="B25" s="128" t="s">
        <v>244</v>
      </c>
      <c r="C25" s="128"/>
      <c r="D25" s="80">
        <v>10.1</v>
      </c>
      <c r="E25" s="79"/>
      <c r="F25" s="80">
        <v>10.1</v>
      </c>
      <c r="G25" s="79"/>
      <c r="H25" s="80">
        <v>11.2</v>
      </c>
      <c r="I25" s="79"/>
      <c r="K25" s="82">
        <f>F25*G25+H25*I25+D25*E25</f>
        <v>0</v>
      </c>
      <c r="M25" s="82">
        <f>K25-N25</f>
        <v>0</v>
      </c>
      <c r="N25" s="82">
        <f>E25*Y$18+G25*Y$18+I25*Y$18</f>
        <v>0</v>
      </c>
      <c r="O25" s="64"/>
      <c r="P25" s="8"/>
      <c r="Q25" s="8"/>
    </row>
    <row r="26" spans="1:25" s="13" customFormat="1" ht="12.75" customHeight="1" x14ac:dyDescent="0.3">
      <c r="A26" s="63"/>
      <c r="B26" s="128" t="s">
        <v>245</v>
      </c>
      <c r="C26" s="128"/>
      <c r="D26" s="80">
        <f>D25</f>
        <v>10.1</v>
      </c>
      <c r="E26" s="79"/>
      <c r="F26" s="80">
        <f>F25</f>
        <v>10.1</v>
      </c>
      <c r="G26" s="79"/>
      <c r="H26" s="80">
        <f>H25</f>
        <v>11.2</v>
      </c>
      <c r="I26" s="79"/>
      <c r="K26" s="82">
        <f>F26*G26+H26*I26+D26*E26</f>
        <v>0</v>
      </c>
      <c r="M26" s="82">
        <f>K26-N26</f>
        <v>0</v>
      </c>
      <c r="N26" s="82">
        <f>E26*Y$18+G26*Y$18+I26*Y$18</f>
        <v>0</v>
      </c>
      <c r="O26" s="64"/>
      <c r="P26" s="8"/>
      <c r="Q26" s="8"/>
    </row>
    <row r="27" spans="1:25" s="13" customFormat="1" ht="12.75" customHeight="1" x14ac:dyDescent="0.3">
      <c r="A27" s="63"/>
      <c r="B27" s="128" t="s">
        <v>619</v>
      </c>
      <c r="C27" s="128"/>
      <c r="D27" s="80">
        <f>D25*2-1.1</f>
        <v>19.099999999999998</v>
      </c>
      <c r="E27" s="79"/>
      <c r="F27" s="80">
        <f>F25*2-1.1</f>
        <v>19.099999999999998</v>
      </c>
      <c r="G27" s="79"/>
      <c r="H27" s="80">
        <f>H25*2-2.2</f>
        <v>20.2</v>
      </c>
      <c r="I27" s="79"/>
      <c r="K27" s="82">
        <f>F27*G27+H27*I27+D27*E27</f>
        <v>0</v>
      </c>
      <c r="M27" s="82">
        <f t="shared" ref="M27:M28" si="0">K27-N27</f>
        <v>0</v>
      </c>
      <c r="N27" s="82">
        <f>E27*Y$18+G27*Y$18+I27*Y$18</f>
        <v>0</v>
      </c>
      <c r="O27" s="64"/>
      <c r="P27" s="8"/>
      <c r="Q27" s="8"/>
    </row>
    <row r="28" spans="1:25" s="13" customFormat="1" ht="12.75" customHeight="1" x14ac:dyDescent="0.3">
      <c r="A28" s="63"/>
      <c r="B28" s="129" t="s">
        <v>620</v>
      </c>
      <c r="C28" s="129"/>
      <c r="D28" s="80">
        <f>-D25</f>
        <v>-10.1</v>
      </c>
      <c r="E28" s="79"/>
      <c r="F28" s="80">
        <f>-F25</f>
        <v>-10.1</v>
      </c>
      <c r="G28" s="79"/>
      <c r="H28" s="80">
        <f>-H25</f>
        <v>-11.2</v>
      </c>
      <c r="I28" s="79"/>
      <c r="K28" s="82">
        <f>F28*G28+H28*I28+D28*E28</f>
        <v>0</v>
      </c>
      <c r="M28" s="82">
        <f t="shared" si="0"/>
        <v>0</v>
      </c>
      <c r="N28" s="82">
        <f>-(E28*Y$18+G28*Y$18+I28*Y$18)</f>
        <v>0</v>
      </c>
      <c r="O28" s="64"/>
      <c r="P28" s="8"/>
      <c r="Q28" s="8"/>
    </row>
    <row r="29" spans="1:25" s="13" customFormat="1" ht="6.6" customHeight="1" x14ac:dyDescent="0.3">
      <c r="A29" s="63"/>
      <c r="F29" s="38"/>
      <c r="G29" s="38"/>
      <c r="H29" s="38"/>
      <c r="I29" s="38"/>
      <c r="K29" s="33"/>
      <c r="M29" s="33"/>
      <c r="N29" s="33"/>
      <c r="O29" s="64"/>
      <c r="P29" s="8"/>
      <c r="Q29" s="8"/>
    </row>
    <row r="30" spans="1:25" s="33" customFormat="1" ht="10.199999999999999" x14ac:dyDescent="0.3">
      <c r="A30" s="61"/>
      <c r="F30" s="34"/>
      <c r="G30" s="34"/>
      <c r="H30" s="34"/>
      <c r="I30" s="34"/>
      <c r="K30" s="51">
        <f>SUM(K17:K20)</f>
        <v>0</v>
      </c>
      <c r="M30" s="51">
        <f>SUM(M17:M20)+SUM(M25:M28)</f>
        <v>0</v>
      </c>
      <c r="N30" s="51">
        <f>SUM(N17:N20)</f>
        <v>0</v>
      </c>
      <c r="O30" s="62"/>
      <c r="P30" s="8"/>
      <c r="Q30" s="8"/>
    </row>
    <row r="31" spans="1:25" s="33" customFormat="1" ht="3" customHeight="1" x14ac:dyDescent="0.3">
      <c r="A31" s="61"/>
      <c r="B31" s="52"/>
      <c r="F31" s="34"/>
      <c r="G31" s="34"/>
      <c r="H31" s="34"/>
      <c r="I31" s="34"/>
      <c r="K31" s="51"/>
      <c r="M31" s="51"/>
      <c r="N31" s="51"/>
      <c r="O31" s="62"/>
      <c r="P31" s="8"/>
      <c r="Q31" s="8"/>
    </row>
    <row r="32" spans="1:25" s="33" customFormat="1" ht="13.8" x14ac:dyDescent="0.3">
      <c r="A32" s="61"/>
      <c r="B32" s="49" t="s">
        <v>621</v>
      </c>
      <c r="C32" s="55">
        <f>(((E17+E18+E19+G17+G18+G19-E20-G20+E25+E26+E27+G25+G26+G27-E28-G28)*1.1)+((I17+I18+I19-I20+I25+I26+I27-I28)*2.2))</f>
        <v>0</v>
      </c>
      <c r="E32" s="41"/>
      <c r="F32" s="41"/>
      <c r="G32" s="35" t="s">
        <v>249</v>
      </c>
      <c r="H32" s="117">
        <f>IF(M30&gt;K33,M30-K33,0)</f>
        <v>0</v>
      </c>
      <c r="I32" s="117"/>
      <c r="K32" s="53">
        <f>K17</f>
        <v>0</v>
      </c>
      <c r="L32" s="54" t="s">
        <v>246</v>
      </c>
      <c r="M32" s="53"/>
      <c r="N32" s="53"/>
      <c r="O32" s="62"/>
      <c r="P32" s="8"/>
      <c r="Q32" s="8"/>
    </row>
    <row r="33" spans="1:17" s="33" customFormat="1" ht="13.8" x14ac:dyDescent="0.3">
      <c r="A33" s="61"/>
      <c r="B33" s="49" t="s">
        <v>257</v>
      </c>
      <c r="C33" s="55">
        <f>U17*SUM(E17:E19)-U17*E20+U17*SUM(G17:G19)-U17*G20+U17*SUM(I17:I19)-U17*I20+U18*SUM(E25:E27)-U18*E28+U18*SUM(G25:G27)-U18*G28+U18*SUM(I25:I27)-U18*I28</f>
        <v>0</v>
      </c>
      <c r="D33" s="55"/>
      <c r="E33" s="38"/>
      <c r="F33" s="38"/>
      <c r="G33" s="56" t="s">
        <v>250</v>
      </c>
      <c r="H33" s="118">
        <f>IF(N30&gt;K32,N30-K32,0)+C32</f>
        <v>0</v>
      </c>
      <c r="I33" s="118"/>
      <c r="K33" s="53">
        <f>SUM(K18:K20)</f>
        <v>0</v>
      </c>
      <c r="L33" s="54" t="s">
        <v>247</v>
      </c>
      <c r="M33" s="53"/>
      <c r="N33" s="53"/>
      <c r="O33" s="62"/>
      <c r="P33" s="8"/>
      <c r="Q33" s="8"/>
    </row>
    <row r="34" spans="1:17" s="33" customFormat="1" ht="9.9" customHeight="1" thickBot="1" x14ac:dyDescent="0.35">
      <c r="A34" s="65"/>
      <c r="B34" s="66"/>
      <c r="C34" s="66"/>
      <c r="D34" s="66"/>
      <c r="E34" s="66"/>
      <c r="F34" s="67"/>
      <c r="G34" s="67"/>
      <c r="H34" s="67"/>
      <c r="I34" s="67"/>
      <c r="J34" s="66"/>
      <c r="K34" s="66"/>
      <c r="L34" s="66"/>
      <c r="M34" s="66"/>
      <c r="N34" s="66"/>
      <c r="O34" s="68"/>
    </row>
    <row r="35" spans="1:17" s="8" customFormat="1" ht="10.199999999999999" x14ac:dyDescent="0.3">
      <c r="I35" s="39"/>
      <c r="M35" s="39"/>
      <c r="N35" s="16"/>
      <c r="O35" s="16"/>
    </row>
    <row r="36" spans="1:17" s="33" customFormat="1" ht="9.9" customHeight="1" x14ac:dyDescent="0.3">
      <c r="F36" s="34"/>
      <c r="G36" s="34"/>
      <c r="H36" s="34"/>
      <c r="I36" s="34"/>
    </row>
    <row r="37" spans="1:17" s="33" customFormat="1" ht="9.9" customHeight="1" x14ac:dyDescent="0.3">
      <c r="F37" s="34"/>
      <c r="G37" s="34"/>
      <c r="H37" s="34"/>
      <c r="I37" s="34"/>
    </row>
    <row r="38" spans="1:17" s="33" customFormat="1" ht="9.9" customHeight="1" x14ac:dyDescent="0.3">
      <c r="F38" s="34"/>
      <c r="G38" s="34"/>
      <c r="H38" s="34"/>
      <c r="I38" s="34"/>
    </row>
    <row r="39" spans="1:17" s="33" customFormat="1" ht="11.25" customHeight="1" x14ac:dyDescent="0.3">
      <c r="A39" s="120" t="s">
        <v>248</v>
      </c>
      <c r="B39" s="121"/>
      <c r="C39" s="106" t="s">
        <v>258</v>
      </c>
      <c r="D39" s="106"/>
      <c r="E39" s="106"/>
      <c r="F39" s="107"/>
      <c r="G39" s="108"/>
      <c r="H39" s="108"/>
      <c r="I39" s="108"/>
      <c r="J39" s="107"/>
      <c r="K39" s="109"/>
    </row>
    <row r="40" spans="1:17" s="33" customFormat="1" ht="11.25" customHeight="1" x14ac:dyDescent="0.3">
      <c r="A40" s="122"/>
      <c r="B40" s="123"/>
      <c r="C40" s="111" t="s">
        <v>259</v>
      </c>
      <c r="D40" s="111"/>
      <c r="E40" s="111"/>
      <c r="G40" s="34"/>
      <c r="H40" s="34"/>
      <c r="I40" s="34"/>
      <c r="K40" s="112"/>
    </row>
    <row r="41" spans="1:17" s="33" customFormat="1" ht="11.25" customHeight="1" x14ac:dyDescent="0.3">
      <c r="A41" s="124"/>
      <c r="B41" s="125"/>
      <c r="C41" s="113" t="s">
        <v>260</v>
      </c>
      <c r="D41" s="113"/>
      <c r="E41" s="113"/>
      <c r="F41" s="114"/>
      <c r="G41" s="115"/>
      <c r="H41" s="115"/>
      <c r="I41" s="115"/>
      <c r="J41" s="114"/>
      <c r="K41" s="116"/>
    </row>
    <row r="42" spans="1:17" s="33" customFormat="1" ht="11.25" customHeight="1" x14ac:dyDescent="0.3">
      <c r="A42" s="110"/>
      <c r="B42" s="110"/>
      <c r="C42" s="111"/>
      <c r="D42" s="111"/>
      <c r="E42" s="111"/>
      <c r="G42" s="34"/>
      <c r="H42" s="34"/>
      <c r="I42" s="34"/>
    </row>
    <row r="43" spans="1:17" s="33" customFormat="1" ht="11.25" customHeight="1" x14ac:dyDescent="0.3">
      <c r="A43" s="110"/>
      <c r="B43" s="110"/>
      <c r="C43" s="111"/>
      <c r="D43" s="111"/>
      <c r="E43" s="111"/>
      <c r="G43" s="34"/>
      <c r="H43" s="34"/>
      <c r="I43" s="34"/>
    </row>
    <row r="44" spans="1:17" s="33" customFormat="1" ht="9.9" customHeight="1" x14ac:dyDescent="0.3">
      <c r="B44" s="75"/>
      <c r="C44" s="37"/>
      <c r="D44" s="37"/>
      <c r="E44" s="37"/>
      <c r="G44" s="34"/>
      <c r="H44" s="34"/>
      <c r="I44" s="34"/>
    </row>
    <row r="45" spans="1:17" s="33" customFormat="1" ht="9.9" customHeight="1" x14ac:dyDescent="0.3">
      <c r="A45" s="40"/>
      <c r="F45" s="34"/>
      <c r="G45" s="34"/>
      <c r="H45" s="34"/>
      <c r="I45" s="34"/>
    </row>
    <row r="46" spans="1:17" x14ac:dyDescent="0.3">
      <c r="A46" s="22" t="s">
        <v>211</v>
      </c>
      <c r="L46" s="23" t="s">
        <v>215</v>
      </c>
      <c r="M46" s="126"/>
      <c r="N46" s="126"/>
      <c r="O46" s="15"/>
    </row>
    <row r="47" spans="1:17" s="18" customFormat="1" ht="13.8" x14ac:dyDescent="0.3">
      <c r="A47" s="43"/>
      <c r="B47" s="42" t="s">
        <v>255</v>
      </c>
      <c r="C47" s="19" t="s">
        <v>201</v>
      </c>
      <c r="D47" s="119"/>
      <c r="E47" s="119"/>
      <c r="I47" s="44"/>
      <c r="L47" s="45"/>
      <c r="M47" s="45"/>
    </row>
    <row r="48" spans="1:17" s="18" customFormat="1" ht="13.8" x14ac:dyDescent="0.3">
      <c r="A48" s="43"/>
      <c r="B48" s="42" t="s">
        <v>212</v>
      </c>
      <c r="C48" s="24" t="s">
        <v>209</v>
      </c>
      <c r="D48" s="24"/>
      <c r="E48" s="24"/>
      <c r="I48" s="44"/>
      <c r="K48" s="44"/>
      <c r="L48" s="45"/>
      <c r="M48" s="45"/>
    </row>
    <row r="49" spans="1:15" s="18" customFormat="1" ht="13.8" x14ac:dyDescent="0.3">
      <c r="A49" s="43"/>
      <c r="B49" s="42" t="s">
        <v>271</v>
      </c>
      <c r="C49" s="24" t="s">
        <v>210</v>
      </c>
      <c r="D49" s="24"/>
      <c r="E49" s="24"/>
      <c r="I49" s="44"/>
      <c r="J49" s="46"/>
      <c r="K49" s="47"/>
      <c r="L49" s="45"/>
      <c r="M49" s="45"/>
    </row>
    <row r="50" spans="1:15" s="18" customFormat="1" ht="13.8" x14ac:dyDescent="0.3">
      <c r="A50" s="43"/>
      <c r="B50" s="42" t="s">
        <v>256</v>
      </c>
      <c r="C50" s="42"/>
      <c r="D50" s="42"/>
      <c r="E50" s="42"/>
      <c r="I50" s="44"/>
      <c r="J50" s="46"/>
      <c r="K50" s="47"/>
      <c r="L50" s="45"/>
      <c r="M50" s="45"/>
    </row>
    <row r="51" spans="1:15" s="26" customFormat="1" ht="5.0999999999999996" customHeight="1" x14ac:dyDescent="0.3">
      <c r="A51" s="8"/>
      <c r="B51" s="25"/>
      <c r="C51" s="25"/>
      <c r="D51" s="25"/>
      <c r="E51" s="25"/>
      <c r="F51" s="15"/>
      <c r="G51" s="15"/>
      <c r="H51" s="15"/>
      <c r="L51" s="27"/>
      <c r="M51" s="27"/>
    </row>
    <row r="52" spans="1:15" ht="9.9" customHeight="1" x14ac:dyDescent="0.3">
      <c r="A52" s="28"/>
      <c r="B52" s="29" t="s">
        <v>216</v>
      </c>
      <c r="C52" s="29"/>
      <c r="D52" s="29"/>
      <c r="E52" s="29"/>
      <c r="F52" s="30"/>
      <c r="G52" s="30"/>
      <c r="H52" s="26"/>
      <c r="K52" s="20"/>
      <c r="L52" s="16"/>
      <c r="M52" s="16"/>
      <c r="N52" s="15"/>
      <c r="O52" s="15"/>
    </row>
    <row r="53" spans="1:15" ht="9.9" customHeight="1" x14ac:dyDescent="0.3">
      <c r="A53" s="15"/>
      <c r="B53" s="31"/>
      <c r="C53" s="31"/>
      <c r="D53" s="31"/>
      <c r="E53" s="31"/>
      <c r="L53" s="16"/>
      <c r="M53" s="16"/>
      <c r="N53" s="15"/>
      <c r="O53" s="15"/>
    </row>
    <row r="54" spans="1:15" ht="9.9" customHeight="1" x14ac:dyDescent="0.3">
      <c r="A54" s="15"/>
      <c r="B54" s="31"/>
      <c r="C54" s="31"/>
      <c r="D54" s="31"/>
      <c r="E54" s="31"/>
      <c r="L54" s="16"/>
      <c r="M54" s="16"/>
      <c r="N54" s="15"/>
      <c r="O54" s="15"/>
    </row>
    <row r="55" spans="1:15" ht="9.9" customHeight="1" x14ac:dyDescent="0.3">
      <c r="A55" s="15"/>
      <c r="B55" s="31"/>
      <c r="C55" s="31"/>
      <c r="D55" s="31"/>
      <c r="E55" s="31"/>
      <c r="L55" s="16"/>
      <c r="M55" s="16"/>
      <c r="N55" s="15"/>
      <c r="O55" s="15"/>
    </row>
    <row r="56" spans="1:15" ht="9.9" customHeight="1" x14ac:dyDescent="0.3">
      <c r="A56" s="15"/>
      <c r="B56" s="31"/>
      <c r="C56" s="31"/>
      <c r="D56" s="31"/>
      <c r="E56" s="31"/>
      <c r="L56" s="16"/>
      <c r="M56" s="16"/>
      <c r="N56" s="15"/>
      <c r="O56" s="15"/>
    </row>
    <row r="57" spans="1:15" ht="9.9" customHeight="1" x14ac:dyDescent="0.3">
      <c r="A57" s="15"/>
      <c r="B57" s="31"/>
      <c r="C57" s="31"/>
      <c r="D57" s="31"/>
      <c r="E57" s="31"/>
      <c r="L57" s="16"/>
      <c r="M57" s="16"/>
      <c r="N57" s="15"/>
      <c r="O57" s="15"/>
    </row>
    <row r="58" spans="1:15" ht="9.9" customHeight="1" x14ac:dyDescent="0.3">
      <c r="A58" s="15"/>
      <c r="B58" s="31"/>
      <c r="C58" s="31"/>
      <c r="D58" s="31"/>
      <c r="E58" s="31"/>
      <c r="L58" s="16"/>
      <c r="M58" s="16"/>
      <c r="N58" s="15"/>
      <c r="O58" s="15"/>
    </row>
    <row r="59" spans="1:15" ht="9.9" customHeight="1" x14ac:dyDescent="0.3">
      <c r="A59" s="15"/>
      <c r="B59" s="31"/>
      <c r="C59" s="31"/>
      <c r="D59" s="31"/>
      <c r="E59" s="31"/>
      <c r="L59" s="16"/>
      <c r="M59" s="16"/>
      <c r="N59" s="15"/>
      <c r="O59" s="15"/>
    </row>
    <row r="60" spans="1:15" ht="9.9" customHeight="1" x14ac:dyDescent="0.3">
      <c r="A60" s="15"/>
      <c r="B60" s="31"/>
      <c r="C60" s="31"/>
      <c r="D60" s="31"/>
      <c r="E60" s="31"/>
      <c r="L60" s="16"/>
      <c r="M60" s="16"/>
      <c r="N60" s="15"/>
      <c r="O60" s="15"/>
    </row>
    <row r="61" spans="1:15" ht="9.9" customHeight="1" x14ac:dyDescent="0.3">
      <c r="A61" s="15"/>
      <c r="B61" s="31"/>
      <c r="C61" s="31"/>
      <c r="D61" s="31"/>
      <c r="E61" s="31"/>
      <c r="L61" s="16"/>
      <c r="M61" s="16"/>
      <c r="N61" s="15"/>
      <c r="O61" s="15"/>
    </row>
    <row r="62" spans="1:15" ht="9.9" customHeight="1" x14ac:dyDescent="0.3">
      <c r="A62" s="15"/>
      <c r="B62" s="31"/>
      <c r="C62" s="31"/>
      <c r="D62" s="31"/>
      <c r="E62" s="31"/>
      <c r="L62" s="16"/>
      <c r="M62" s="16"/>
      <c r="N62" s="15"/>
      <c r="O62" s="15"/>
    </row>
    <row r="63" spans="1:15" ht="9.9" customHeight="1" x14ac:dyDescent="0.3">
      <c r="A63" s="15"/>
      <c r="B63" s="31"/>
      <c r="C63" s="31"/>
      <c r="D63" s="31"/>
      <c r="E63" s="31"/>
      <c r="L63" s="16"/>
      <c r="M63" s="16"/>
      <c r="N63" s="15"/>
      <c r="O63" s="15"/>
    </row>
    <row r="64" spans="1:15" ht="9.9" customHeight="1" x14ac:dyDescent="0.3">
      <c r="A64" s="15"/>
      <c r="B64" s="31"/>
      <c r="C64" s="31"/>
      <c r="D64" s="31"/>
      <c r="E64" s="31"/>
      <c r="L64" s="16"/>
      <c r="M64" s="16"/>
      <c r="N64" s="15"/>
      <c r="O64" s="15"/>
    </row>
    <row r="65" spans="1:15" ht="9.9" customHeight="1" x14ac:dyDescent="0.3">
      <c r="A65" s="15"/>
      <c r="B65" s="31"/>
      <c r="C65" s="31"/>
      <c r="D65" s="31"/>
      <c r="E65" s="31"/>
      <c r="L65" s="16"/>
      <c r="M65" s="16"/>
      <c r="N65" s="15"/>
      <c r="O65" s="15"/>
    </row>
    <row r="66" spans="1:15" s="8" customFormat="1" ht="9.9" customHeight="1" x14ac:dyDescent="0.3">
      <c r="I66" s="39"/>
      <c r="K66" s="39"/>
      <c r="L66" s="16"/>
      <c r="M66" s="16"/>
    </row>
    <row r="67" spans="1:15" s="8" customFormat="1" ht="9.9" customHeight="1" x14ac:dyDescent="0.3">
      <c r="I67" s="39"/>
      <c r="K67" s="39"/>
      <c r="L67" s="16"/>
      <c r="M67" s="16"/>
    </row>
    <row r="68" spans="1:15" s="8" customFormat="1" ht="9.9" customHeight="1" x14ac:dyDescent="0.3">
      <c r="I68" s="39"/>
      <c r="K68" s="39"/>
      <c r="L68" s="16"/>
      <c r="M68" s="16"/>
    </row>
    <row r="69" spans="1:15" s="8" customFormat="1" ht="10.199999999999999" x14ac:dyDescent="0.3">
      <c r="A69" s="74" t="s">
        <v>204</v>
      </c>
      <c r="B69" s="74"/>
      <c r="C69" s="74"/>
      <c r="D69" s="74"/>
      <c r="E69" s="74"/>
      <c r="F69" s="74"/>
      <c r="G69" s="74"/>
      <c r="H69" s="32"/>
      <c r="I69" s="32"/>
      <c r="K69" s="39"/>
      <c r="L69" s="16"/>
      <c r="M69" s="16"/>
    </row>
    <row r="70" spans="1:15" s="71" customFormat="1" ht="7.8" x14ac:dyDescent="0.3">
      <c r="A70" s="69" t="s">
        <v>205</v>
      </c>
      <c r="B70" s="69"/>
      <c r="C70" s="69"/>
      <c r="D70" s="69"/>
      <c r="E70" s="69"/>
      <c r="F70" s="70"/>
      <c r="G70" s="70"/>
      <c r="H70" s="70"/>
      <c r="I70" s="70"/>
      <c r="K70" s="72"/>
      <c r="L70" s="73"/>
      <c r="M70" s="73"/>
    </row>
    <row r="71" spans="1:15" s="71" customFormat="1" ht="7.8" x14ac:dyDescent="0.3">
      <c r="A71" s="69" t="s">
        <v>206</v>
      </c>
      <c r="B71" s="69"/>
      <c r="C71" s="69"/>
      <c r="D71" s="69"/>
      <c r="E71" s="69"/>
      <c r="F71" s="70"/>
      <c r="G71" s="70"/>
      <c r="H71" s="70"/>
      <c r="I71" s="70"/>
      <c r="K71" s="72"/>
      <c r="L71" s="73"/>
      <c r="M71" s="73"/>
    </row>
    <row r="72" spans="1:15" s="71" customFormat="1" ht="7.8" x14ac:dyDescent="0.3">
      <c r="A72" s="69" t="s">
        <v>207</v>
      </c>
      <c r="B72" s="69"/>
      <c r="C72" s="69"/>
      <c r="D72" s="69"/>
      <c r="E72" s="69"/>
      <c r="F72" s="70"/>
      <c r="G72" s="70"/>
      <c r="H72" s="70"/>
      <c r="I72" s="70"/>
      <c r="K72" s="72"/>
      <c r="L72" s="73"/>
      <c r="M72" s="73"/>
    </row>
  </sheetData>
  <sheetProtection sheet="1" selectLockedCells="1"/>
  <mergeCells count="28">
    <mergeCell ref="B17:C17"/>
    <mergeCell ref="D4:D5"/>
    <mergeCell ref="B14:B15"/>
    <mergeCell ref="D14:E15"/>
    <mergeCell ref="F14:G15"/>
    <mergeCell ref="H14:I15"/>
    <mergeCell ref="E10:F10"/>
    <mergeCell ref="I10:N10"/>
    <mergeCell ref="E3:H3"/>
    <mergeCell ref="I3:O3"/>
    <mergeCell ref="H5:I5"/>
    <mergeCell ref="L5:N5"/>
    <mergeCell ref="F8:K8"/>
    <mergeCell ref="B20:C20"/>
    <mergeCell ref="B19:C19"/>
    <mergeCell ref="B18:C18"/>
    <mergeCell ref="D22:E23"/>
    <mergeCell ref="F22:G23"/>
    <mergeCell ref="H22:I23"/>
    <mergeCell ref="B25:C25"/>
    <mergeCell ref="B26:C26"/>
    <mergeCell ref="B27:C27"/>
    <mergeCell ref="B28:C28"/>
    <mergeCell ref="H32:I32"/>
    <mergeCell ref="H33:I33"/>
    <mergeCell ref="D47:E47"/>
    <mergeCell ref="A39:B41"/>
    <mergeCell ref="M46:N46"/>
  </mergeCells>
  <dataValidations count="2">
    <dataValidation type="list" allowBlank="1" showInputMessage="1" showErrorMessage="1" sqref="C8" xr:uid="{5DEABC9B-CD53-4FCF-B758-9F4DEFD98FA5}">
      <formula1>CD</formula1>
    </dataValidation>
    <dataValidation type="list" allowBlank="1" showInputMessage="1" showErrorMessage="1" sqref="F8:K8" xr:uid="{BAC9B5CA-4ACE-4D1E-A4B5-BFF708708A1E}">
      <formula1>INDIRECT($C$8)</formula1>
    </dataValidation>
  </dataValidations>
  <pageMargins left="0.19685039370078741" right="0.19685039370078741" top="0.19685039370078741" bottom="0.19685039370078741" header="0" footer="0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160020</xdr:rowOff>
                  </from>
                  <to>
                    <xdr:col>1</xdr:col>
                    <xdr:colOff>30480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144780</xdr:rowOff>
                  </from>
                  <to>
                    <xdr:col>1</xdr:col>
                    <xdr:colOff>30480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144780</xdr:rowOff>
                  </from>
                  <to>
                    <xdr:col>1</xdr:col>
                    <xdr:colOff>30480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144780</xdr:rowOff>
                  </from>
                  <to>
                    <xdr:col>1</xdr:col>
                    <xdr:colOff>30480</xdr:colOff>
                    <xdr:row>50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19BA-D871-4BE4-A65B-2035B4EF0F06}">
  <dimension ref="A1:U273"/>
  <sheetViews>
    <sheetView topLeftCell="A100" workbookViewId="0">
      <selection activeCell="A133" sqref="A133:XFD133"/>
    </sheetView>
  </sheetViews>
  <sheetFormatPr baseColWidth="10" defaultColWidth="11.44140625" defaultRowHeight="10.199999999999999" x14ac:dyDescent="0.2"/>
  <cols>
    <col min="1" max="1" width="6.6640625" style="1" customWidth="1"/>
    <col min="2" max="2" width="20.6640625" style="1" customWidth="1"/>
    <col min="3" max="3" width="6.6640625" style="1" customWidth="1"/>
    <col min="4" max="5" width="4.6640625" style="1" customWidth="1"/>
    <col min="6" max="6" width="10.6640625" style="1" customWidth="1"/>
    <col min="7" max="10" width="5.6640625" style="5" customWidth="1"/>
    <col min="11" max="11" width="4.6640625" style="1" customWidth="1"/>
    <col min="12" max="12" width="8.6640625" style="1" customWidth="1"/>
    <col min="13" max="13" width="5.6640625" style="1" customWidth="1"/>
    <col min="14" max="14" width="4.6640625" style="1" customWidth="1"/>
    <col min="15" max="15" width="10.6640625" style="1" customWidth="1"/>
    <col min="16" max="16" width="18" style="1" bestFit="1" customWidth="1"/>
    <col min="17" max="17" width="4.6640625" style="1" customWidth="1"/>
    <col min="18" max="18" width="6.6640625" style="1" customWidth="1"/>
    <col min="19" max="19" width="6.33203125" style="1" customWidth="1"/>
    <col min="20" max="20" width="5.33203125" style="1" customWidth="1"/>
    <col min="21" max="21" width="4.6640625" style="1" customWidth="1"/>
    <col min="22" max="22" width="15.6640625" style="1" customWidth="1"/>
    <col min="23" max="23" width="4.6640625" style="1" customWidth="1"/>
    <col min="24" max="24" width="6.6640625" style="1" customWidth="1"/>
    <col min="25" max="25" width="15.6640625" style="1" customWidth="1"/>
    <col min="26" max="26" width="4.6640625" style="1" customWidth="1"/>
    <col min="27" max="27" width="6.6640625" style="1" customWidth="1"/>
    <col min="28" max="28" width="15.6640625" style="1" customWidth="1"/>
    <col min="29" max="29" width="4.6640625" style="1" customWidth="1"/>
    <col min="30" max="30" width="6.6640625" style="1" customWidth="1"/>
    <col min="31" max="31" width="15.6640625" style="1" customWidth="1"/>
    <col min="32" max="32" width="4.6640625" style="1" customWidth="1"/>
    <col min="33" max="33" width="6.6640625" style="1" customWidth="1"/>
    <col min="34" max="34" width="11.44140625" style="1"/>
    <col min="35" max="35" width="4.6640625" style="1" customWidth="1"/>
    <col min="36" max="36" width="6.6640625" style="1" customWidth="1"/>
    <col min="37" max="37" width="15.6640625" style="1" customWidth="1"/>
    <col min="38" max="16384" width="11.44140625" style="1"/>
  </cols>
  <sheetData>
    <row r="1" spans="1:21" s="2" customFormat="1" x14ac:dyDescent="0.2">
      <c r="B1" s="2" t="s">
        <v>238</v>
      </c>
      <c r="F1" s="2" t="s">
        <v>0</v>
      </c>
      <c r="G1" s="5"/>
      <c r="H1" s="5"/>
      <c r="I1" s="5"/>
      <c r="J1" s="5"/>
      <c r="Q1" s="5"/>
      <c r="R1" s="5"/>
      <c r="S1" s="5"/>
      <c r="T1" s="5"/>
    </row>
    <row r="2" spans="1:21" x14ac:dyDescent="0.2">
      <c r="A2" s="2"/>
      <c r="B2" s="100" t="s">
        <v>345</v>
      </c>
      <c r="C2" s="100">
        <v>5016</v>
      </c>
      <c r="D2" s="99" t="s">
        <v>182</v>
      </c>
      <c r="F2" s="4" t="s">
        <v>7</v>
      </c>
      <c r="G2" s="6" t="s">
        <v>3</v>
      </c>
      <c r="H2" s="6" t="s">
        <v>4</v>
      </c>
      <c r="I2" s="6" t="s">
        <v>5</v>
      </c>
      <c r="J2" s="6" t="s">
        <v>6</v>
      </c>
      <c r="K2" s="2" t="s">
        <v>2</v>
      </c>
      <c r="P2" s="4"/>
      <c r="Q2" s="6"/>
      <c r="R2" s="6"/>
      <c r="S2" s="6"/>
      <c r="T2" s="6"/>
      <c r="U2" s="2"/>
    </row>
    <row r="3" spans="1:21" x14ac:dyDescent="0.2">
      <c r="B3" s="1" t="s">
        <v>308</v>
      </c>
      <c r="C3" s="1" t="str">
        <f>"5016011"</f>
        <v>5016011</v>
      </c>
      <c r="D3" s="3" t="s">
        <v>182</v>
      </c>
      <c r="F3" s="4"/>
      <c r="G3" s="6"/>
      <c r="H3" s="6"/>
      <c r="I3" s="6"/>
      <c r="J3" s="6"/>
      <c r="P3" s="4"/>
      <c r="Q3" s="6"/>
      <c r="R3" s="6"/>
      <c r="S3" s="6"/>
      <c r="T3" s="6"/>
    </row>
    <row r="4" spans="1:21" x14ac:dyDescent="0.2">
      <c r="B4" s="1" t="s">
        <v>314</v>
      </c>
      <c r="C4" s="1" t="str">
        <f>"5016014"</f>
        <v>5016014</v>
      </c>
      <c r="D4" s="3" t="s">
        <v>182</v>
      </c>
      <c r="F4" s="1" t="s">
        <v>417</v>
      </c>
      <c r="G4" s="6">
        <v>210</v>
      </c>
      <c r="H4" s="5">
        <v>11</v>
      </c>
      <c r="I4" s="5">
        <f>G4-H4</f>
        <v>199</v>
      </c>
      <c r="J4" s="5">
        <v>2</v>
      </c>
      <c r="K4" s="5">
        <v>51</v>
      </c>
    </row>
    <row r="5" spans="1:21" x14ac:dyDescent="0.2">
      <c r="B5" s="1" t="s">
        <v>26</v>
      </c>
      <c r="C5" s="1" t="str">
        <f>"5016229"</f>
        <v>5016229</v>
      </c>
      <c r="D5" s="3" t="s">
        <v>182</v>
      </c>
      <c r="F5" s="1" t="s">
        <v>418</v>
      </c>
      <c r="G5" s="6">
        <v>135</v>
      </c>
      <c r="H5" s="5">
        <v>11</v>
      </c>
      <c r="I5" s="5">
        <f>G5-H5</f>
        <v>124</v>
      </c>
      <c r="J5" s="5">
        <v>2</v>
      </c>
      <c r="K5" s="5">
        <v>51</v>
      </c>
    </row>
    <row r="6" spans="1:21" x14ac:dyDescent="0.2">
      <c r="B6" s="1" t="s">
        <v>327</v>
      </c>
      <c r="C6" s="1" t="str">
        <f>"5016204"</f>
        <v>5016204</v>
      </c>
      <c r="D6" s="3" t="s">
        <v>182</v>
      </c>
      <c r="F6" s="1" t="s">
        <v>293</v>
      </c>
      <c r="G6" s="6">
        <v>75</v>
      </c>
      <c r="H6" s="5">
        <v>11</v>
      </c>
      <c r="I6" s="5">
        <f>G6-H6</f>
        <v>64</v>
      </c>
      <c r="J6" s="5">
        <v>2</v>
      </c>
      <c r="K6" s="5">
        <v>51</v>
      </c>
    </row>
    <row r="7" spans="1:21" x14ac:dyDescent="0.2">
      <c r="B7" s="1" t="s">
        <v>34</v>
      </c>
      <c r="C7" s="1" t="str">
        <f>"5016164"</f>
        <v>5016164</v>
      </c>
      <c r="D7" s="3" t="s">
        <v>182</v>
      </c>
      <c r="F7" s="1" t="s">
        <v>419</v>
      </c>
      <c r="G7" s="6">
        <v>57</v>
      </c>
      <c r="H7" s="5">
        <v>11</v>
      </c>
      <c r="I7" s="5">
        <f t="shared" ref="I7:I21" si="0">G7-H7</f>
        <v>46</v>
      </c>
      <c r="J7" s="5">
        <v>2</v>
      </c>
      <c r="K7" s="5">
        <v>51</v>
      </c>
    </row>
    <row r="8" spans="1:21" x14ac:dyDescent="0.2">
      <c r="B8" s="1" t="s">
        <v>340</v>
      </c>
      <c r="C8" s="1" t="str">
        <f>"5016186"</f>
        <v>5016186</v>
      </c>
      <c r="D8" s="3" t="s">
        <v>182</v>
      </c>
      <c r="F8" s="1" t="s">
        <v>420</v>
      </c>
      <c r="G8" s="6">
        <v>57</v>
      </c>
      <c r="H8" s="5">
        <v>11</v>
      </c>
      <c r="I8" s="5">
        <f t="shared" si="0"/>
        <v>46</v>
      </c>
      <c r="J8" s="5">
        <v>2</v>
      </c>
      <c r="K8" s="5">
        <v>51</v>
      </c>
    </row>
    <row r="9" spans="1:21" ht="13.8" x14ac:dyDescent="0.3">
      <c r="B9" s="89" t="s">
        <v>46</v>
      </c>
      <c r="C9" s="90" t="str">
        <f>"5016240"</f>
        <v>5016240</v>
      </c>
      <c r="D9" s="3" t="s">
        <v>182</v>
      </c>
      <c r="F9" s="1" t="s">
        <v>122</v>
      </c>
      <c r="G9" s="6">
        <v>20</v>
      </c>
      <c r="H9" s="5">
        <v>2</v>
      </c>
      <c r="I9" s="5">
        <f t="shared" si="0"/>
        <v>18</v>
      </c>
      <c r="J9" s="5">
        <v>2</v>
      </c>
      <c r="K9" s="5">
        <v>51</v>
      </c>
    </row>
    <row r="10" spans="1:21" x14ac:dyDescent="0.2">
      <c r="B10" s="1" t="s">
        <v>350</v>
      </c>
      <c r="C10" s="1" t="str">
        <f>"5016010"</f>
        <v>5016010</v>
      </c>
      <c r="D10" s="3" t="s">
        <v>182</v>
      </c>
      <c r="F10" s="1" t="s">
        <v>421</v>
      </c>
      <c r="G10" s="6">
        <v>57</v>
      </c>
      <c r="H10" s="5">
        <v>11</v>
      </c>
      <c r="I10" s="5">
        <f t="shared" si="0"/>
        <v>46</v>
      </c>
      <c r="J10" s="5">
        <v>2</v>
      </c>
      <c r="K10" s="5">
        <v>51</v>
      </c>
    </row>
    <row r="11" spans="1:21" ht="13.8" x14ac:dyDescent="0.3">
      <c r="B11" s="89" t="s">
        <v>66</v>
      </c>
      <c r="C11" s="90" t="str">
        <f>"5016231"</f>
        <v>5016231</v>
      </c>
      <c r="D11" s="3" t="s">
        <v>182</v>
      </c>
      <c r="F11" s="1" t="s">
        <v>114</v>
      </c>
      <c r="G11" s="6">
        <v>30</v>
      </c>
      <c r="H11" s="5">
        <v>11</v>
      </c>
      <c r="I11" s="5">
        <f t="shared" si="0"/>
        <v>19</v>
      </c>
      <c r="J11" s="5">
        <v>2</v>
      </c>
      <c r="K11" s="5">
        <v>51</v>
      </c>
    </row>
    <row r="12" spans="1:21" x14ac:dyDescent="0.2">
      <c r="B12" s="1" t="s">
        <v>72</v>
      </c>
      <c r="C12" s="1" t="str">
        <f>"5016230"</f>
        <v>5016230</v>
      </c>
      <c r="D12" s="3" t="s">
        <v>182</v>
      </c>
      <c r="F12" s="1" t="s">
        <v>196</v>
      </c>
      <c r="G12" s="6">
        <v>57</v>
      </c>
      <c r="H12" s="5">
        <v>11</v>
      </c>
      <c r="I12" s="5">
        <f t="shared" si="0"/>
        <v>46</v>
      </c>
      <c r="J12" s="5">
        <v>2</v>
      </c>
      <c r="K12" s="5">
        <v>51</v>
      </c>
    </row>
    <row r="13" spans="1:21" x14ac:dyDescent="0.2">
      <c r="B13" s="1" t="s">
        <v>358</v>
      </c>
      <c r="C13" s="1" t="s">
        <v>422</v>
      </c>
      <c r="D13" s="3" t="s">
        <v>182</v>
      </c>
      <c r="F13" s="1" t="s">
        <v>423</v>
      </c>
      <c r="G13" s="6">
        <v>57</v>
      </c>
      <c r="H13" s="5">
        <v>11</v>
      </c>
      <c r="I13" s="5">
        <f t="shared" si="0"/>
        <v>46</v>
      </c>
      <c r="J13" s="5">
        <v>2</v>
      </c>
      <c r="K13" s="5">
        <v>28</v>
      </c>
    </row>
    <row r="14" spans="1:21" x14ac:dyDescent="0.2">
      <c r="B14" s="1" t="s">
        <v>363</v>
      </c>
      <c r="C14" s="1" t="str">
        <f>"5016183"</f>
        <v>5016183</v>
      </c>
      <c r="D14" s="3" t="s">
        <v>182</v>
      </c>
      <c r="F14" s="1" t="s">
        <v>56</v>
      </c>
      <c r="G14" s="6">
        <v>57</v>
      </c>
      <c r="H14" s="5">
        <v>11</v>
      </c>
      <c r="I14" s="5">
        <f t="shared" si="0"/>
        <v>46</v>
      </c>
      <c r="J14" s="5">
        <v>2</v>
      </c>
      <c r="K14" s="5">
        <v>28</v>
      </c>
    </row>
    <row r="15" spans="1:21" x14ac:dyDescent="0.2">
      <c r="B15" s="1" t="s">
        <v>86</v>
      </c>
      <c r="C15" s="1" t="str">
        <f>"5016185"</f>
        <v>5016185</v>
      </c>
      <c r="D15" s="3" t="s">
        <v>182</v>
      </c>
      <c r="F15" s="1" t="s">
        <v>65</v>
      </c>
      <c r="G15" s="6">
        <v>75</v>
      </c>
      <c r="H15" s="5">
        <v>11</v>
      </c>
      <c r="I15" s="5">
        <f t="shared" si="0"/>
        <v>64</v>
      </c>
      <c r="J15" s="5">
        <v>2</v>
      </c>
      <c r="K15" s="5">
        <v>0</v>
      </c>
    </row>
    <row r="16" spans="1:21" x14ac:dyDescent="0.2">
      <c r="B16" s="1" t="s">
        <v>91</v>
      </c>
      <c r="C16" s="1" t="str">
        <f>"5016012"</f>
        <v>5016012</v>
      </c>
      <c r="D16" s="3" t="s">
        <v>182</v>
      </c>
      <c r="F16" s="1" t="s">
        <v>71</v>
      </c>
      <c r="G16" s="6">
        <v>160</v>
      </c>
      <c r="H16" s="5">
        <v>11</v>
      </c>
      <c r="I16" s="5">
        <f t="shared" si="0"/>
        <v>149</v>
      </c>
      <c r="J16" s="5">
        <v>2</v>
      </c>
      <c r="K16" s="5">
        <v>0</v>
      </c>
    </row>
    <row r="17" spans="2:11" x14ac:dyDescent="0.2">
      <c r="B17" s="1" t="s">
        <v>379</v>
      </c>
      <c r="C17" s="1" t="str">
        <f>"5016173"</f>
        <v>5016173</v>
      </c>
      <c r="D17" s="3" t="s">
        <v>182</v>
      </c>
      <c r="F17" s="1" t="s">
        <v>45</v>
      </c>
      <c r="G17" s="6">
        <v>57</v>
      </c>
      <c r="H17" s="5">
        <v>11</v>
      </c>
      <c r="I17" s="5">
        <f t="shared" si="0"/>
        <v>46</v>
      </c>
      <c r="J17" s="5">
        <v>2</v>
      </c>
      <c r="K17" s="5">
        <v>51</v>
      </c>
    </row>
    <row r="18" spans="2:11" x14ac:dyDescent="0.2">
      <c r="B18" s="1" t="s">
        <v>385</v>
      </c>
      <c r="C18" s="1">
        <v>5016245</v>
      </c>
      <c r="D18" s="3" t="s">
        <v>182</v>
      </c>
      <c r="F18" s="1" t="s">
        <v>106</v>
      </c>
      <c r="G18" s="6">
        <v>390</v>
      </c>
      <c r="H18" s="5">
        <v>11</v>
      </c>
      <c r="I18" s="5">
        <f t="shared" si="0"/>
        <v>379</v>
      </c>
      <c r="J18" s="5">
        <v>2</v>
      </c>
      <c r="K18" s="5">
        <v>51</v>
      </c>
    </row>
    <row r="19" spans="2:11" x14ac:dyDescent="0.2">
      <c r="B19" s="1" t="s">
        <v>388</v>
      </c>
      <c r="C19" s="1" t="str">
        <f>"5016015"</f>
        <v>5016015</v>
      </c>
      <c r="D19" s="3" t="s">
        <v>182</v>
      </c>
      <c r="F19" s="1" t="s">
        <v>109</v>
      </c>
      <c r="G19" s="6">
        <v>195</v>
      </c>
      <c r="H19" s="5">
        <v>11</v>
      </c>
      <c r="I19" s="5">
        <f t="shared" si="0"/>
        <v>184</v>
      </c>
      <c r="J19" s="5">
        <v>2</v>
      </c>
      <c r="K19" s="5">
        <v>51</v>
      </c>
    </row>
    <row r="20" spans="2:11" x14ac:dyDescent="0.2">
      <c r="B20" s="1" t="s">
        <v>393</v>
      </c>
      <c r="C20" s="1" t="str">
        <f>"5016009"</f>
        <v>5016009</v>
      </c>
      <c r="D20" s="3" t="s">
        <v>182</v>
      </c>
      <c r="F20" s="1" t="s">
        <v>424</v>
      </c>
      <c r="G20" s="6">
        <v>20</v>
      </c>
      <c r="H20" s="5">
        <v>4</v>
      </c>
      <c r="I20" s="5">
        <f t="shared" si="0"/>
        <v>16</v>
      </c>
      <c r="J20" s="5">
        <v>0</v>
      </c>
      <c r="K20" s="5">
        <v>51</v>
      </c>
    </row>
    <row r="21" spans="2:11" x14ac:dyDescent="0.2">
      <c r="B21" s="1" t="s">
        <v>397</v>
      </c>
      <c r="C21" s="1" t="str">
        <f>"5016008"</f>
        <v>5016008</v>
      </c>
      <c r="D21" s="3" t="s">
        <v>182</v>
      </c>
      <c r="F21" s="1" t="s">
        <v>425</v>
      </c>
      <c r="G21" s="6">
        <v>25</v>
      </c>
      <c r="H21" s="5">
        <v>4</v>
      </c>
      <c r="I21" s="5">
        <f t="shared" si="0"/>
        <v>21</v>
      </c>
      <c r="J21" s="5">
        <v>0</v>
      </c>
      <c r="K21" s="5">
        <v>51</v>
      </c>
    </row>
    <row r="22" spans="2:11" ht="13.8" x14ac:dyDescent="0.3">
      <c r="B22" s="89" t="s">
        <v>117</v>
      </c>
      <c r="C22" s="90" t="str">
        <f>"5016002"</f>
        <v>5016002</v>
      </c>
      <c r="D22" s="3" t="s">
        <v>182</v>
      </c>
      <c r="G22" s="6"/>
      <c r="K22" s="5"/>
    </row>
    <row r="23" spans="2:11" x14ac:dyDescent="0.2">
      <c r="B23" s="1" t="s">
        <v>399</v>
      </c>
      <c r="C23" s="1">
        <v>5016244</v>
      </c>
      <c r="D23" s="3" t="s">
        <v>182</v>
      </c>
      <c r="G23" s="6"/>
      <c r="K23" s="5"/>
    </row>
    <row r="24" spans="2:11" x14ac:dyDescent="0.2">
      <c r="B24" s="98" t="s">
        <v>374</v>
      </c>
      <c r="C24" s="98">
        <v>5017</v>
      </c>
      <c r="D24" s="99" t="s">
        <v>183</v>
      </c>
      <c r="G24" s="6"/>
      <c r="K24" s="5"/>
    </row>
    <row r="25" spans="2:11" x14ac:dyDescent="0.2">
      <c r="B25" s="1" t="s">
        <v>309</v>
      </c>
      <c r="C25" s="1" t="str">
        <f>"5017140"</f>
        <v>5017140</v>
      </c>
      <c r="D25" s="3" t="s">
        <v>183</v>
      </c>
      <c r="G25" s="6"/>
      <c r="K25" s="5"/>
    </row>
    <row r="26" spans="2:11" x14ac:dyDescent="0.2">
      <c r="B26" s="1" t="s">
        <v>315</v>
      </c>
      <c r="C26" s="1" t="str">
        <f>"5017241"</f>
        <v>5017241</v>
      </c>
      <c r="D26" s="3" t="s">
        <v>183</v>
      </c>
      <c r="G26" s="1"/>
      <c r="H26" s="1"/>
      <c r="I26" s="1"/>
      <c r="J26" s="1"/>
    </row>
    <row r="27" spans="2:11" x14ac:dyDescent="0.2">
      <c r="B27" s="1" t="s">
        <v>27</v>
      </c>
      <c r="C27" s="1" t="str">
        <f>"5017148"</f>
        <v>5017148</v>
      </c>
      <c r="D27" s="3" t="s">
        <v>183</v>
      </c>
      <c r="G27" s="1"/>
      <c r="H27" s="1"/>
      <c r="I27" s="1"/>
      <c r="J27" s="1"/>
    </row>
    <row r="28" spans="2:11" x14ac:dyDescent="0.2">
      <c r="B28" s="1" t="s">
        <v>328</v>
      </c>
      <c r="C28" s="1" t="str">
        <f>"5017217"</f>
        <v>5017217</v>
      </c>
      <c r="D28" s="3" t="s">
        <v>183</v>
      </c>
      <c r="F28" s="2" t="s">
        <v>213</v>
      </c>
      <c r="G28" s="2"/>
      <c r="H28" s="1"/>
      <c r="I28" s="1"/>
      <c r="J28" s="1"/>
    </row>
    <row r="29" spans="2:11" x14ac:dyDescent="0.2">
      <c r="B29" s="1" t="s">
        <v>336</v>
      </c>
      <c r="C29" s="1" t="str">
        <f>"5017097"</f>
        <v>5017097</v>
      </c>
      <c r="D29" s="3" t="s">
        <v>183</v>
      </c>
      <c r="F29" s="1" t="s">
        <v>426</v>
      </c>
      <c r="G29" s="6">
        <v>142</v>
      </c>
      <c r="H29" s="5">
        <v>67</v>
      </c>
      <c r="I29" s="5">
        <f>G29-H29</f>
        <v>75</v>
      </c>
      <c r="J29" s="11"/>
    </row>
    <row r="30" spans="2:11" x14ac:dyDescent="0.2">
      <c r="B30" s="1" t="s">
        <v>47</v>
      </c>
      <c r="C30" s="1" t="str">
        <f>"5017205"</f>
        <v>5017205</v>
      </c>
      <c r="D30" s="3" t="s">
        <v>183</v>
      </c>
      <c r="F30" s="1" t="s">
        <v>427</v>
      </c>
      <c r="G30" s="91">
        <v>242</v>
      </c>
      <c r="H30" s="92">
        <v>92</v>
      </c>
      <c r="I30" s="92">
        <f>G30-H30</f>
        <v>150</v>
      </c>
      <c r="J30" s="11"/>
    </row>
    <row r="31" spans="2:11" x14ac:dyDescent="0.2">
      <c r="B31" s="1" t="s">
        <v>57</v>
      </c>
      <c r="C31" s="1" t="str">
        <f>"5017126"</f>
        <v>5017126</v>
      </c>
      <c r="D31" s="3" t="s">
        <v>183</v>
      </c>
      <c r="F31" s="1" t="s">
        <v>428</v>
      </c>
      <c r="G31" s="6">
        <v>50</v>
      </c>
      <c r="H31" s="5">
        <v>25</v>
      </c>
      <c r="I31" s="5">
        <f t="shared" ref="I31" si="1">G31-H31</f>
        <v>25</v>
      </c>
      <c r="J31" s="5" t="s">
        <v>214</v>
      </c>
    </row>
    <row r="32" spans="2:11" x14ac:dyDescent="0.2">
      <c r="B32" s="1" t="s">
        <v>351</v>
      </c>
      <c r="C32" s="1" t="str">
        <f>"5017190"</f>
        <v>5017190</v>
      </c>
      <c r="D32" s="3" t="s">
        <v>183</v>
      </c>
    </row>
    <row r="33" spans="2:9" x14ac:dyDescent="0.2">
      <c r="B33" s="1" t="s">
        <v>354</v>
      </c>
      <c r="C33" s="1" t="str">
        <f>"5017179"</f>
        <v>5017179</v>
      </c>
      <c r="D33" s="3" t="s">
        <v>183</v>
      </c>
    </row>
    <row r="34" spans="2:9" x14ac:dyDescent="0.2">
      <c r="B34" s="1" t="s">
        <v>73</v>
      </c>
      <c r="C34" s="1" t="str">
        <f>"5017237"</f>
        <v>5017237</v>
      </c>
      <c r="D34" s="3" t="s">
        <v>183</v>
      </c>
      <c r="F34" s="2" t="s">
        <v>2</v>
      </c>
      <c r="G34" s="2"/>
      <c r="I34" s="7" t="s">
        <v>239</v>
      </c>
    </row>
    <row r="35" spans="2:9" x14ac:dyDescent="0.2">
      <c r="B35" s="1" t="s">
        <v>364</v>
      </c>
      <c r="C35" s="1" t="str">
        <f>"5017224"</f>
        <v>5017224</v>
      </c>
      <c r="D35" s="3" t="s">
        <v>183</v>
      </c>
      <c r="F35" s="1" t="s">
        <v>9</v>
      </c>
      <c r="G35" s="1">
        <v>51</v>
      </c>
      <c r="I35" s="11" t="s">
        <v>240</v>
      </c>
    </row>
    <row r="36" spans="2:9" x14ac:dyDescent="0.2">
      <c r="B36" s="1" t="s">
        <v>367</v>
      </c>
      <c r="C36" s="1" t="str">
        <f>"5017079"</f>
        <v>5017079</v>
      </c>
      <c r="D36" s="3" t="s">
        <v>183</v>
      </c>
      <c r="F36" s="1" t="s">
        <v>14</v>
      </c>
      <c r="G36" s="1">
        <v>35</v>
      </c>
      <c r="I36" s="12" t="s">
        <v>241</v>
      </c>
    </row>
    <row r="37" spans="2:9" x14ac:dyDescent="0.2">
      <c r="B37" s="1" t="s">
        <v>92</v>
      </c>
      <c r="C37" s="1" t="str">
        <f>"5017146"</f>
        <v>5017146</v>
      </c>
      <c r="D37" s="3" t="s">
        <v>183</v>
      </c>
      <c r="F37" s="1" t="s">
        <v>18</v>
      </c>
      <c r="G37" s="1">
        <v>28</v>
      </c>
    </row>
    <row r="38" spans="2:9" x14ac:dyDescent="0.2">
      <c r="B38" s="1" t="s">
        <v>99</v>
      </c>
      <c r="C38" s="1" t="str">
        <f>"5017004"</f>
        <v>5017004</v>
      </c>
      <c r="D38" s="3" t="s">
        <v>183</v>
      </c>
      <c r="G38" s="1"/>
    </row>
    <row r="39" spans="2:9" x14ac:dyDescent="0.2">
      <c r="B39" s="1" t="s">
        <v>389</v>
      </c>
      <c r="C39" s="1" t="str">
        <f>"5017118"</f>
        <v>5017118</v>
      </c>
      <c r="D39" s="3" t="s">
        <v>183</v>
      </c>
      <c r="G39" s="1"/>
    </row>
    <row r="40" spans="2:9" x14ac:dyDescent="0.2">
      <c r="B40" s="1" t="s">
        <v>157</v>
      </c>
      <c r="C40" s="1" t="str">
        <f>"5017035"</f>
        <v>5017035</v>
      </c>
      <c r="D40" s="3" t="s">
        <v>183</v>
      </c>
      <c r="G40" s="1"/>
    </row>
    <row r="41" spans="2:9" x14ac:dyDescent="0.2">
      <c r="B41" s="1" t="s">
        <v>107</v>
      </c>
      <c r="C41" s="1" t="str">
        <f>"5017233"</f>
        <v>5017233</v>
      </c>
      <c r="D41" s="3" t="s">
        <v>183</v>
      </c>
      <c r="G41" s="1"/>
    </row>
    <row r="42" spans="2:9" x14ac:dyDescent="0.2">
      <c r="B42" s="1" t="s">
        <v>158</v>
      </c>
      <c r="C42" s="1" t="str">
        <f>"5017236"</f>
        <v>5017236</v>
      </c>
      <c r="D42" s="3" t="s">
        <v>183</v>
      </c>
    </row>
    <row r="43" spans="2:9" x14ac:dyDescent="0.2">
      <c r="B43" s="1" t="s">
        <v>402</v>
      </c>
      <c r="C43" s="1" t="str">
        <f>"5017042"</f>
        <v>5017042</v>
      </c>
      <c r="D43" s="3" t="s">
        <v>183</v>
      </c>
    </row>
    <row r="44" spans="2:9" x14ac:dyDescent="0.2">
      <c r="B44" s="1" t="s">
        <v>403</v>
      </c>
      <c r="C44" s="1" t="str">
        <f>"5017238"</f>
        <v>5017238</v>
      </c>
      <c r="D44" s="3" t="s">
        <v>183</v>
      </c>
      <c r="F44" s="10" t="s">
        <v>1</v>
      </c>
    </row>
    <row r="45" spans="2:9" ht="13.8" x14ac:dyDescent="0.3">
      <c r="B45" s="89" t="s">
        <v>129</v>
      </c>
      <c r="C45" s="90" t="str">
        <f>"5017215"</f>
        <v>5017215</v>
      </c>
      <c r="D45" s="3" t="s">
        <v>183</v>
      </c>
      <c r="F45" s="10" t="str">
        <f ca="1">F49&amp;F50&amp;F51&amp;F52&amp;F53</f>
        <v>4737</v>
      </c>
    </row>
    <row r="46" spans="2:9" x14ac:dyDescent="0.2">
      <c r="B46" s="1" t="s">
        <v>159</v>
      </c>
      <c r="C46" s="1" t="str">
        <f>"5017240"</f>
        <v>5017240</v>
      </c>
      <c r="D46" s="3" t="s">
        <v>183</v>
      </c>
      <c r="F46" s="8"/>
    </row>
    <row r="47" spans="2:9" x14ac:dyDescent="0.2">
      <c r="B47" s="1" t="s">
        <v>133</v>
      </c>
      <c r="C47" s="1" t="str">
        <f>"5017213"</f>
        <v>5017213</v>
      </c>
      <c r="D47" s="3" t="s">
        <v>183</v>
      </c>
      <c r="F47" s="9">
        <f ca="1">TODAY()</f>
        <v>45476</v>
      </c>
    </row>
    <row r="48" spans="2:9" x14ac:dyDescent="0.2">
      <c r="B48" s="1" t="s">
        <v>404</v>
      </c>
      <c r="C48" s="1" t="str">
        <f>"5017053"</f>
        <v>5017053</v>
      </c>
      <c r="D48" s="3" t="s">
        <v>183</v>
      </c>
      <c r="F48" s="8">
        <f ca="1">YEAR(F47)</f>
        <v>2024</v>
      </c>
    </row>
    <row r="49" spans="2:15" x14ac:dyDescent="0.2">
      <c r="B49" s="1" t="s">
        <v>406</v>
      </c>
      <c r="C49" s="1" t="s">
        <v>429</v>
      </c>
      <c r="D49" s="3" t="s">
        <v>183</v>
      </c>
      <c r="F49" s="8" t="str">
        <f ca="1">RIGHT(F48,1)</f>
        <v>4</v>
      </c>
    </row>
    <row r="50" spans="2:15" x14ac:dyDescent="0.2">
      <c r="B50" s="1" t="s">
        <v>407</v>
      </c>
      <c r="C50" s="1" t="s">
        <v>430</v>
      </c>
      <c r="D50" s="3" t="s">
        <v>183</v>
      </c>
      <c r="F50" s="8">
        <f ca="1">MONTH(F47)</f>
        <v>7</v>
      </c>
    </row>
    <row r="51" spans="2:15" x14ac:dyDescent="0.2">
      <c r="B51" s="1" t="s">
        <v>142</v>
      </c>
      <c r="C51" s="1" t="s">
        <v>431</v>
      </c>
      <c r="D51" s="3" t="s">
        <v>183</v>
      </c>
      <c r="F51" s="8">
        <f ca="1">DAY(F47)</f>
        <v>3</v>
      </c>
    </row>
    <row r="52" spans="2:15" x14ac:dyDescent="0.2">
      <c r="B52" s="1" t="s">
        <v>409</v>
      </c>
      <c r="C52" s="1" t="s">
        <v>432</v>
      </c>
      <c r="D52" s="3" t="s">
        <v>183</v>
      </c>
      <c r="F52" s="8">
        <f ca="1">RANDBETWEEN(1,9)</f>
        <v>7</v>
      </c>
      <c r="K52" s="2"/>
      <c r="L52" s="2"/>
      <c r="N52" s="2"/>
    </row>
    <row r="53" spans="2:15" x14ac:dyDescent="0.2">
      <c r="B53" s="1" t="s">
        <v>410</v>
      </c>
      <c r="C53" s="1" t="s">
        <v>433</v>
      </c>
      <c r="D53" s="3" t="s">
        <v>183</v>
      </c>
      <c r="F53" s="8" t="str">
        <f>RIGHT('[1]Bordereau Epr.-Aff.-CicleWeb'!H6,3)</f>
        <v/>
      </c>
      <c r="O53" s="2"/>
    </row>
    <row r="54" spans="2:15" x14ac:dyDescent="0.2">
      <c r="B54" s="1" t="s">
        <v>411</v>
      </c>
      <c r="C54" s="1" t="s">
        <v>434</v>
      </c>
      <c r="D54" s="3" t="s">
        <v>183</v>
      </c>
    </row>
    <row r="55" spans="2:15" x14ac:dyDescent="0.2">
      <c r="B55" s="1" t="s">
        <v>413</v>
      </c>
      <c r="C55" s="1" t="s">
        <v>435</v>
      </c>
      <c r="D55" s="3" t="s">
        <v>183</v>
      </c>
    </row>
    <row r="56" spans="2:15" x14ac:dyDescent="0.2">
      <c r="B56" s="1" t="s">
        <v>144</v>
      </c>
      <c r="C56" s="1" t="s">
        <v>436</v>
      </c>
      <c r="D56" s="3" t="s">
        <v>183</v>
      </c>
      <c r="I56" s="7"/>
    </row>
    <row r="57" spans="2:15" x14ac:dyDescent="0.2">
      <c r="B57" s="1" t="s">
        <v>414</v>
      </c>
      <c r="C57" s="1" t="s">
        <v>437</v>
      </c>
      <c r="D57" s="3" t="s">
        <v>183</v>
      </c>
    </row>
    <row r="58" spans="2:15" x14ac:dyDescent="0.2">
      <c r="B58" s="98" t="s">
        <v>329</v>
      </c>
      <c r="C58" s="98">
        <v>5019</v>
      </c>
      <c r="D58" s="99" t="s">
        <v>184</v>
      </c>
    </row>
    <row r="59" spans="2:15" x14ac:dyDescent="0.2">
      <c r="B59" s="3" t="s">
        <v>264</v>
      </c>
      <c r="C59" s="3" t="s">
        <v>438</v>
      </c>
      <c r="D59" s="3" t="s">
        <v>184</v>
      </c>
    </row>
    <row r="60" spans="2:15" x14ac:dyDescent="0.2">
      <c r="B60" s="3" t="s">
        <v>316</v>
      </c>
      <c r="C60" s="3" t="s">
        <v>439</v>
      </c>
      <c r="D60" s="3" t="s">
        <v>184</v>
      </c>
    </row>
    <row r="61" spans="2:15" x14ac:dyDescent="0.2">
      <c r="B61" s="3" t="s">
        <v>440</v>
      </c>
      <c r="C61" s="3" t="s">
        <v>441</v>
      </c>
      <c r="D61" s="3" t="s">
        <v>184</v>
      </c>
    </row>
    <row r="62" spans="2:15" x14ac:dyDescent="0.2">
      <c r="B62" s="3" t="s">
        <v>160</v>
      </c>
      <c r="C62" s="3" t="s">
        <v>442</v>
      </c>
      <c r="D62" s="3" t="s">
        <v>184</v>
      </c>
    </row>
    <row r="63" spans="2:15" x14ac:dyDescent="0.2">
      <c r="B63" s="3" t="s">
        <v>341</v>
      </c>
      <c r="C63" s="3" t="s">
        <v>443</v>
      </c>
      <c r="D63" s="3" t="s">
        <v>184</v>
      </c>
    </row>
    <row r="64" spans="2:15" x14ac:dyDescent="0.2">
      <c r="B64" s="3" t="s">
        <v>346</v>
      </c>
      <c r="C64" s="3" t="s">
        <v>444</v>
      </c>
      <c r="D64" s="3" t="s">
        <v>184</v>
      </c>
    </row>
    <row r="65" spans="2:4" x14ac:dyDescent="0.2">
      <c r="B65" s="3" t="s">
        <v>40</v>
      </c>
      <c r="C65" s="3" t="s">
        <v>445</v>
      </c>
      <c r="D65" s="3" t="s">
        <v>184</v>
      </c>
    </row>
    <row r="66" spans="2:4" x14ac:dyDescent="0.2">
      <c r="B66" s="3" t="s">
        <v>48</v>
      </c>
      <c r="C66" s="3" t="s">
        <v>446</v>
      </c>
      <c r="D66" s="3" t="s">
        <v>184</v>
      </c>
    </row>
    <row r="67" spans="2:4" x14ac:dyDescent="0.2">
      <c r="B67" s="3" t="s">
        <v>359</v>
      </c>
      <c r="C67" s="3" t="s">
        <v>447</v>
      </c>
      <c r="D67" s="3" t="s">
        <v>184</v>
      </c>
    </row>
    <row r="68" spans="2:4" ht="13.8" x14ac:dyDescent="0.3">
      <c r="B68" s="93" t="s">
        <v>67</v>
      </c>
      <c r="C68" s="94" t="str">
        <f>"5019026"</f>
        <v>5019026</v>
      </c>
      <c r="D68" s="3" t="s">
        <v>184</v>
      </c>
    </row>
    <row r="69" spans="2:4" x14ac:dyDescent="0.2">
      <c r="B69" s="1" t="s">
        <v>80</v>
      </c>
      <c r="C69" s="1" t="s">
        <v>448</v>
      </c>
      <c r="D69" s="3" t="s">
        <v>184</v>
      </c>
    </row>
    <row r="70" spans="2:4" x14ac:dyDescent="0.2">
      <c r="B70" s="98" t="s">
        <v>321</v>
      </c>
      <c r="C70" s="98">
        <v>5023</v>
      </c>
      <c r="D70" s="99" t="s">
        <v>185</v>
      </c>
    </row>
    <row r="71" spans="2:4" ht="13.8" x14ac:dyDescent="0.3">
      <c r="B71" s="89" t="s">
        <v>161</v>
      </c>
      <c r="C71" s="90" t="str">
        <f>"5023020"</f>
        <v>5023020</v>
      </c>
      <c r="D71" s="3" t="s">
        <v>185</v>
      </c>
    </row>
    <row r="72" spans="2:4" x14ac:dyDescent="0.2">
      <c r="B72" s="1" t="s">
        <v>162</v>
      </c>
      <c r="C72" s="1" t="s">
        <v>449</v>
      </c>
      <c r="D72" s="3" t="s">
        <v>185</v>
      </c>
    </row>
    <row r="73" spans="2:4" ht="13.8" x14ac:dyDescent="0.3">
      <c r="B73" s="89" t="s">
        <v>163</v>
      </c>
      <c r="C73" s="90" t="str">
        <f>"5023002"</f>
        <v>5023002</v>
      </c>
      <c r="D73" s="3" t="s">
        <v>185</v>
      </c>
    </row>
    <row r="74" spans="2:4" x14ac:dyDescent="0.2">
      <c r="B74" s="1" t="s">
        <v>164</v>
      </c>
      <c r="C74" s="1" t="s">
        <v>450</v>
      </c>
      <c r="D74" s="3" t="s">
        <v>185</v>
      </c>
    </row>
    <row r="75" spans="2:4" x14ac:dyDescent="0.2">
      <c r="B75" s="1" t="s">
        <v>330</v>
      </c>
      <c r="C75" s="1" t="s">
        <v>451</v>
      </c>
      <c r="D75" s="3" t="s">
        <v>185</v>
      </c>
    </row>
    <row r="76" spans="2:4" x14ac:dyDescent="0.2">
      <c r="B76" s="1" t="s">
        <v>35</v>
      </c>
      <c r="C76" s="1" t="s">
        <v>452</v>
      </c>
      <c r="D76" s="3" t="s">
        <v>185</v>
      </c>
    </row>
    <row r="77" spans="2:4" x14ac:dyDescent="0.2">
      <c r="B77" s="1" t="s">
        <v>165</v>
      </c>
      <c r="C77" s="1" t="s">
        <v>453</v>
      </c>
      <c r="D77" s="3" t="s">
        <v>185</v>
      </c>
    </row>
    <row r="78" spans="2:4" x14ac:dyDescent="0.2">
      <c r="B78" s="1" t="s">
        <v>166</v>
      </c>
      <c r="C78" s="1" t="s">
        <v>454</v>
      </c>
      <c r="D78" s="3" t="s">
        <v>185</v>
      </c>
    </row>
    <row r="79" spans="2:4" x14ac:dyDescent="0.2">
      <c r="B79" s="1" t="s">
        <v>167</v>
      </c>
      <c r="C79" s="1" t="s">
        <v>455</v>
      </c>
      <c r="D79" s="3" t="s">
        <v>185</v>
      </c>
    </row>
    <row r="80" spans="2:4" x14ac:dyDescent="0.2">
      <c r="B80" s="1" t="s">
        <v>168</v>
      </c>
      <c r="C80" s="1" t="s">
        <v>456</v>
      </c>
      <c r="D80" s="3" t="s">
        <v>185</v>
      </c>
    </row>
    <row r="81" spans="2:12" x14ac:dyDescent="0.2">
      <c r="B81" s="1" t="s">
        <v>169</v>
      </c>
      <c r="C81" s="1" t="s">
        <v>457</v>
      </c>
      <c r="D81" s="3" t="s">
        <v>185</v>
      </c>
    </row>
    <row r="82" spans="2:12" x14ac:dyDescent="0.2">
      <c r="B82" s="1" t="s">
        <v>170</v>
      </c>
      <c r="C82" s="1" t="s">
        <v>458</v>
      </c>
      <c r="D82" s="3" t="s">
        <v>185</v>
      </c>
    </row>
    <row r="83" spans="2:12" x14ac:dyDescent="0.2">
      <c r="B83" s="98" t="s">
        <v>331</v>
      </c>
      <c r="C83" s="98">
        <v>5024</v>
      </c>
      <c r="D83" s="99" t="s">
        <v>186</v>
      </c>
    </row>
    <row r="84" spans="2:12" x14ac:dyDescent="0.2">
      <c r="B84" s="3" t="s">
        <v>16</v>
      </c>
      <c r="C84" s="3">
        <v>5024288</v>
      </c>
      <c r="D84" s="3" t="s">
        <v>186</v>
      </c>
    </row>
    <row r="85" spans="2:12" x14ac:dyDescent="0.2">
      <c r="B85" s="3" t="s">
        <v>20</v>
      </c>
      <c r="C85" s="3" t="s">
        <v>459</v>
      </c>
      <c r="D85" s="3" t="s">
        <v>186</v>
      </c>
    </row>
    <row r="86" spans="2:12" x14ac:dyDescent="0.2">
      <c r="B86" s="3" t="s">
        <v>28</v>
      </c>
      <c r="C86" s="3" t="s">
        <v>460</v>
      </c>
      <c r="D86" s="3" t="s">
        <v>186</v>
      </c>
      <c r="L86" s="2"/>
    </row>
    <row r="87" spans="2:12" x14ac:dyDescent="0.2">
      <c r="B87" s="3" t="s">
        <v>49</v>
      </c>
      <c r="C87" s="3" t="s">
        <v>461</v>
      </c>
      <c r="D87" s="3" t="s">
        <v>186</v>
      </c>
    </row>
    <row r="88" spans="2:12" x14ac:dyDescent="0.2">
      <c r="B88" s="3" t="s">
        <v>58</v>
      </c>
      <c r="C88" s="3" t="s">
        <v>462</v>
      </c>
      <c r="D88" s="3" t="s">
        <v>186</v>
      </c>
    </row>
    <row r="89" spans="2:12" ht="13.8" x14ac:dyDescent="0.3">
      <c r="B89" s="93" t="s">
        <v>68</v>
      </c>
      <c r="C89" s="94" t="str">
        <f>"5024022"</f>
        <v>5024022</v>
      </c>
      <c r="D89" s="3" t="s">
        <v>186</v>
      </c>
    </row>
    <row r="90" spans="2:12" x14ac:dyDescent="0.2">
      <c r="B90" s="3" t="s">
        <v>74</v>
      </c>
      <c r="C90" s="3" t="s">
        <v>463</v>
      </c>
      <c r="D90" s="3" t="s">
        <v>186</v>
      </c>
      <c r="I90" s="7"/>
      <c r="J90" s="7"/>
    </row>
    <row r="91" spans="2:12" x14ac:dyDescent="0.2">
      <c r="B91" s="3" t="s">
        <v>81</v>
      </c>
      <c r="C91" s="3" t="s">
        <v>464</v>
      </c>
      <c r="D91" s="3" t="s">
        <v>186</v>
      </c>
    </row>
    <row r="92" spans="2:12" x14ac:dyDescent="0.2">
      <c r="B92" s="3" t="s">
        <v>355</v>
      </c>
      <c r="C92" s="3" t="s">
        <v>465</v>
      </c>
      <c r="D92" s="3" t="s">
        <v>186</v>
      </c>
    </row>
    <row r="93" spans="2:12" x14ac:dyDescent="0.2">
      <c r="B93" s="3" t="s">
        <v>87</v>
      </c>
      <c r="C93" s="3" t="s">
        <v>466</v>
      </c>
      <c r="D93" s="3" t="s">
        <v>186</v>
      </c>
    </row>
    <row r="94" spans="2:12" x14ac:dyDescent="0.2">
      <c r="B94" s="101" t="s">
        <v>616</v>
      </c>
      <c r="C94" s="3">
        <v>5024271</v>
      </c>
      <c r="D94" s="101" t="s">
        <v>186</v>
      </c>
    </row>
    <row r="95" spans="2:12" x14ac:dyDescent="0.2">
      <c r="B95" s="3" t="s">
        <v>368</v>
      </c>
      <c r="C95" s="3" t="s">
        <v>467</v>
      </c>
      <c r="D95" s="3" t="s">
        <v>186</v>
      </c>
    </row>
    <row r="96" spans="2:12" x14ac:dyDescent="0.2">
      <c r="B96" s="3" t="s">
        <v>375</v>
      </c>
      <c r="C96" s="3" t="s">
        <v>468</v>
      </c>
      <c r="D96" s="3" t="s">
        <v>186</v>
      </c>
    </row>
    <row r="97" spans="2:4" x14ac:dyDescent="0.2">
      <c r="B97" s="3" t="s">
        <v>380</v>
      </c>
      <c r="C97" s="3" t="s">
        <v>469</v>
      </c>
      <c r="D97" s="3" t="s">
        <v>186</v>
      </c>
    </row>
    <row r="98" spans="2:4" x14ac:dyDescent="0.2">
      <c r="B98" s="3" t="s">
        <v>110</v>
      </c>
      <c r="C98" s="3" t="s">
        <v>470</v>
      </c>
      <c r="D98" s="3" t="s">
        <v>186</v>
      </c>
    </row>
    <row r="99" spans="2:4" x14ac:dyDescent="0.2">
      <c r="B99" s="3" t="s">
        <v>118</v>
      </c>
      <c r="C99" s="3" t="s">
        <v>471</v>
      </c>
      <c r="D99" s="3" t="s">
        <v>186</v>
      </c>
    </row>
    <row r="100" spans="2:4" x14ac:dyDescent="0.2">
      <c r="B100" s="1" t="s">
        <v>123</v>
      </c>
      <c r="C100" s="1" t="s">
        <v>472</v>
      </c>
      <c r="D100" s="3" t="s">
        <v>186</v>
      </c>
    </row>
    <row r="101" spans="2:4" x14ac:dyDescent="0.2">
      <c r="B101" s="1" t="s">
        <v>126</v>
      </c>
      <c r="C101" s="1" t="s">
        <v>473</v>
      </c>
      <c r="D101" s="3" t="s">
        <v>186</v>
      </c>
    </row>
    <row r="102" spans="2:4" x14ac:dyDescent="0.2">
      <c r="B102" s="1" t="s">
        <v>400</v>
      </c>
      <c r="C102" s="1" t="s">
        <v>474</v>
      </c>
      <c r="D102" s="3" t="s">
        <v>186</v>
      </c>
    </row>
    <row r="103" spans="2:4" x14ac:dyDescent="0.2">
      <c r="B103" s="1" t="s">
        <v>134</v>
      </c>
      <c r="C103" s="1" t="s">
        <v>475</v>
      </c>
      <c r="D103" s="3" t="s">
        <v>186</v>
      </c>
    </row>
    <row r="104" spans="2:4" x14ac:dyDescent="0.2">
      <c r="B104" s="98" t="s">
        <v>390</v>
      </c>
      <c r="C104" s="98">
        <v>5033</v>
      </c>
      <c r="D104" s="99" t="s">
        <v>187</v>
      </c>
    </row>
    <row r="105" spans="2:4" ht="13.8" x14ac:dyDescent="0.3">
      <c r="B105" s="89" t="s">
        <v>11</v>
      </c>
      <c r="C105" s="90" t="str">
        <f>"5033085"</f>
        <v>5033085</v>
      </c>
      <c r="D105" s="3" t="s">
        <v>187</v>
      </c>
    </row>
    <row r="106" spans="2:4" x14ac:dyDescent="0.2">
      <c r="B106" s="1" t="s">
        <v>21</v>
      </c>
      <c r="C106" s="1" t="s">
        <v>476</v>
      </c>
      <c r="D106" s="3" t="s">
        <v>187</v>
      </c>
    </row>
    <row r="107" spans="2:4" ht="13.8" x14ac:dyDescent="0.3">
      <c r="B107" s="89" t="s">
        <v>262</v>
      </c>
      <c r="C107" s="90">
        <v>5033065</v>
      </c>
      <c r="D107" s="3" t="s">
        <v>187</v>
      </c>
    </row>
    <row r="108" spans="2:4" x14ac:dyDescent="0.2">
      <c r="B108" s="1" t="s">
        <v>317</v>
      </c>
      <c r="C108" s="1">
        <v>5033041</v>
      </c>
      <c r="D108" s="3" t="s">
        <v>187</v>
      </c>
    </row>
    <row r="109" spans="2:4" x14ac:dyDescent="0.2">
      <c r="B109" s="1" t="s">
        <v>29</v>
      </c>
      <c r="C109" s="1" t="s">
        <v>477</v>
      </c>
      <c r="D109" s="3" t="s">
        <v>187</v>
      </c>
    </row>
    <row r="110" spans="2:4" x14ac:dyDescent="0.2">
      <c r="B110" s="1" t="s">
        <v>332</v>
      </c>
      <c r="C110" s="1" t="s">
        <v>478</v>
      </c>
      <c r="D110" s="3" t="s">
        <v>187</v>
      </c>
    </row>
    <row r="111" spans="2:4" x14ac:dyDescent="0.2">
      <c r="B111" s="1" t="s">
        <v>41</v>
      </c>
      <c r="C111" s="1" t="s">
        <v>479</v>
      </c>
      <c r="D111" s="3" t="s">
        <v>187</v>
      </c>
    </row>
    <row r="112" spans="2:4" x14ac:dyDescent="0.2">
      <c r="B112" s="138" t="s">
        <v>628</v>
      </c>
      <c r="C112" s="1" t="s">
        <v>496</v>
      </c>
      <c r="D112" s="3" t="s">
        <v>187</v>
      </c>
    </row>
    <row r="113" spans="2:14" x14ac:dyDescent="0.2">
      <c r="B113" s="1" t="s">
        <v>50</v>
      </c>
      <c r="C113" s="1" t="s">
        <v>480</v>
      </c>
      <c r="D113" s="3" t="s">
        <v>187</v>
      </c>
    </row>
    <row r="114" spans="2:14" x14ac:dyDescent="0.2">
      <c r="B114" s="1" t="s">
        <v>59</v>
      </c>
      <c r="C114" s="1" t="s">
        <v>481</v>
      </c>
      <c r="D114" s="3" t="s">
        <v>187</v>
      </c>
    </row>
    <row r="115" spans="2:14" x14ac:dyDescent="0.2">
      <c r="B115" s="1" t="s">
        <v>352</v>
      </c>
      <c r="C115" s="1" t="s">
        <v>482</v>
      </c>
      <c r="D115" s="3" t="s">
        <v>187</v>
      </c>
    </row>
    <row r="116" spans="2:14" x14ac:dyDescent="0.2">
      <c r="B116" s="1" t="s">
        <v>75</v>
      </c>
      <c r="C116" s="1" t="s">
        <v>483</v>
      </c>
      <c r="D116" s="3" t="s">
        <v>187</v>
      </c>
    </row>
    <row r="117" spans="2:14" x14ac:dyDescent="0.2">
      <c r="B117" s="1" t="s">
        <v>82</v>
      </c>
      <c r="C117" s="1" t="s">
        <v>484</v>
      </c>
      <c r="D117" s="3" t="s">
        <v>187</v>
      </c>
    </row>
    <row r="118" spans="2:14" x14ac:dyDescent="0.2">
      <c r="B118" s="1" t="s">
        <v>88</v>
      </c>
      <c r="C118" s="1" t="s">
        <v>485</v>
      </c>
      <c r="D118" s="3" t="s">
        <v>187</v>
      </c>
    </row>
    <row r="119" spans="2:14" x14ac:dyDescent="0.2">
      <c r="B119" s="1" t="s">
        <v>93</v>
      </c>
      <c r="C119" s="1" t="s">
        <v>486</v>
      </c>
      <c r="D119" s="3" t="s">
        <v>187</v>
      </c>
    </row>
    <row r="120" spans="2:14" x14ac:dyDescent="0.2">
      <c r="B120" s="1" t="s">
        <v>103</v>
      </c>
      <c r="C120" s="1" t="s">
        <v>487</v>
      </c>
      <c r="D120" s="3" t="s">
        <v>187</v>
      </c>
    </row>
    <row r="121" spans="2:14" x14ac:dyDescent="0.2">
      <c r="B121" s="1" t="s">
        <v>381</v>
      </c>
      <c r="C121" s="1" t="s">
        <v>488</v>
      </c>
      <c r="D121" s="3" t="s">
        <v>187</v>
      </c>
    </row>
    <row r="122" spans="2:14" x14ac:dyDescent="0.2">
      <c r="B122" s="1" t="s">
        <v>386</v>
      </c>
      <c r="C122" s="1" t="s">
        <v>489</v>
      </c>
      <c r="D122" s="3" t="s">
        <v>187</v>
      </c>
    </row>
    <row r="123" spans="2:14" x14ac:dyDescent="0.2">
      <c r="B123" s="1" t="s">
        <v>394</v>
      </c>
      <c r="C123" s="1">
        <v>5033100</v>
      </c>
      <c r="D123" s="3" t="s">
        <v>187</v>
      </c>
      <c r="K123" s="2"/>
      <c r="L123" s="2"/>
      <c r="N123" s="2"/>
    </row>
    <row r="124" spans="2:14" ht="13.8" x14ac:dyDescent="0.3">
      <c r="B124" s="89" t="s">
        <v>171</v>
      </c>
      <c r="C124" s="90" t="str">
        <f>"5033050"</f>
        <v>5033050</v>
      </c>
      <c r="D124" s="3" t="s">
        <v>187</v>
      </c>
    </row>
    <row r="125" spans="2:14" x14ac:dyDescent="0.2">
      <c r="B125" s="1" t="s">
        <v>119</v>
      </c>
      <c r="C125" s="1" t="s">
        <v>490</v>
      </c>
      <c r="D125" s="3" t="s">
        <v>187</v>
      </c>
    </row>
    <row r="126" spans="2:14" x14ac:dyDescent="0.2">
      <c r="B126" s="1" t="s">
        <v>401</v>
      </c>
      <c r="C126" s="1" t="s">
        <v>491</v>
      </c>
      <c r="D126" s="3" t="s">
        <v>187</v>
      </c>
    </row>
    <row r="127" spans="2:14" ht="13.8" x14ac:dyDescent="0.3">
      <c r="B127" s="89" t="s">
        <v>127</v>
      </c>
      <c r="C127" s="90" t="str">
        <f>"5033037"</f>
        <v>5033037</v>
      </c>
      <c r="D127" s="3" t="s">
        <v>187</v>
      </c>
      <c r="I127" s="7"/>
    </row>
    <row r="128" spans="2:14" x14ac:dyDescent="0.2">
      <c r="B128" s="1" t="s">
        <v>130</v>
      </c>
      <c r="C128" s="1" t="s">
        <v>492</v>
      </c>
      <c r="D128" s="3" t="s">
        <v>187</v>
      </c>
    </row>
    <row r="129" spans="2:4" x14ac:dyDescent="0.2">
      <c r="B129" s="1" t="s">
        <v>135</v>
      </c>
      <c r="C129" s="1" t="s">
        <v>493</v>
      </c>
      <c r="D129" s="3" t="s">
        <v>187</v>
      </c>
    </row>
    <row r="130" spans="2:4" ht="13.8" x14ac:dyDescent="0.3">
      <c r="B130" s="89" t="s">
        <v>137</v>
      </c>
      <c r="C130" s="90" t="str">
        <f>"5033018"</f>
        <v>5033018</v>
      </c>
      <c r="D130" s="3" t="s">
        <v>187</v>
      </c>
    </row>
    <row r="131" spans="2:4" x14ac:dyDescent="0.2">
      <c r="B131" s="1" t="s">
        <v>261</v>
      </c>
      <c r="C131" s="1" t="s">
        <v>494</v>
      </c>
      <c r="D131" s="3" t="s">
        <v>187</v>
      </c>
    </row>
    <row r="132" spans="2:4" x14ac:dyDescent="0.2">
      <c r="B132" s="1" t="s">
        <v>139</v>
      </c>
      <c r="C132" s="1" t="s">
        <v>495</v>
      </c>
      <c r="D132" s="3" t="s">
        <v>187</v>
      </c>
    </row>
    <row r="133" spans="2:4" x14ac:dyDescent="0.2">
      <c r="B133" s="1" t="s">
        <v>140</v>
      </c>
      <c r="C133" s="1" t="s">
        <v>497</v>
      </c>
      <c r="D133" s="3" t="s">
        <v>187</v>
      </c>
    </row>
    <row r="134" spans="2:4" x14ac:dyDescent="0.2">
      <c r="B134" s="1" t="s">
        <v>408</v>
      </c>
      <c r="C134" s="1" t="s">
        <v>498</v>
      </c>
      <c r="D134" s="3" t="s">
        <v>187</v>
      </c>
    </row>
    <row r="135" spans="2:4" x14ac:dyDescent="0.2">
      <c r="B135" s="1" t="s">
        <v>141</v>
      </c>
      <c r="C135" s="1" t="s">
        <v>499</v>
      </c>
      <c r="D135" s="3" t="s">
        <v>187</v>
      </c>
    </row>
    <row r="136" spans="2:4" x14ac:dyDescent="0.2">
      <c r="B136" s="1" t="s">
        <v>143</v>
      </c>
      <c r="C136" s="1" t="s">
        <v>500</v>
      </c>
      <c r="D136" s="3" t="s">
        <v>187</v>
      </c>
    </row>
    <row r="137" spans="2:4" x14ac:dyDescent="0.2">
      <c r="B137" s="1" t="s">
        <v>145</v>
      </c>
      <c r="C137" s="1" t="s">
        <v>501</v>
      </c>
      <c r="D137" s="3" t="s">
        <v>187</v>
      </c>
    </row>
    <row r="138" spans="2:4" x14ac:dyDescent="0.2">
      <c r="B138" s="1" t="s">
        <v>502</v>
      </c>
      <c r="C138" s="1" t="s">
        <v>503</v>
      </c>
      <c r="D138" s="3" t="s">
        <v>187</v>
      </c>
    </row>
    <row r="139" spans="2:4" x14ac:dyDescent="0.2">
      <c r="B139" s="1" t="s">
        <v>146</v>
      </c>
      <c r="C139" s="1" t="s">
        <v>504</v>
      </c>
      <c r="D139" s="3" t="s">
        <v>187</v>
      </c>
    </row>
    <row r="140" spans="2:4" x14ac:dyDescent="0.2">
      <c r="B140" s="1" t="s">
        <v>147</v>
      </c>
      <c r="C140" s="1" t="s">
        <v>505</v>
      </c>
      <c r="D140" s="3" t="s">
        <v>187</v>
      </c>
    </row>
    <row r="141" spans="2:4" x14ac:dyDescent="0.2">
      <c r="B141" s="1" t="s">
        <v>172</v>
      </c>
      <c r="C141" s="1" t="s">
        <v>506</v>
      </c>
      <c r="D141" s="3" t="s">
        <v>187</v>
      </c>
    </row>
    <row r="142" spans="2:4" x14ac:dyDescent="0.2">
      <c r="B142" s="1" t="s">
        <v>415</v>
      </c>
      <c r="C142" s="1" t="s">
        <v>507</v>
      </c>
      <c r="D142" s="3" t="s">
        <v>187</v>
      </c>
    </row>
    <row r="143" spans="2:4" x14ac:dyDescent="0.2">
      <c r="B143" s="1" t="s">
        <v>148</v>
      </c>
      <c r="C143" s="1" t="s">
        <v>508</v>
      </c>
      <c r="D143" s="3" t="s">
        <v>187</v>
      </c>
    </row>
    <row r="144" spans="2:4" x14ac:dyDescent="0.2">
      <c r="B144" s="1" t="s">
        <v>149</v>
      </c>
      <c r="C144" s="1" t="s">
        <v>509</v>
      </c>
      <c r="D144" s="3" t="s">
        <v>187</v>
      </c>
    </row>
    <row r="145" spans="2:4" x14ac:dyDescent="0.2">
      <c r="B145" s="1" t="s">
        <v>150</v>
      </c>
      <c r="C145" s="1" t="s">
        <v>510</v>
      </c>
      <c r="D145" s="3" t="s">
        <v>187</v>
      </c>
    </row>
    <row r="146" spans="2:4" x14ac:dyDescent="0.2">
      <c r="B146" s="1" t="s">
        <v>173</v>
      </c>
      <c r="C146" s="1" t="s">
        <v>511</v>
      </c>
      <c r="D146" s="3" t="s">
        <v>187</v>
      </c>
    </row>
    <row r="147" spans="2:4" x14ac:dyDescent="0.2">
      <c r="B147" s="1" t="s">
        <v>151</v>
      </c>
      <c r="C147" s="1" t="s">
        <v>512</v>
      </c>
      <c r="D147" s="3" t="s">
        <v>187</v>
      </c>
    </row>
    <row r="148" spans="2:4" x14ac:dyDescent="0.2">
      <c r="B148" s="1" t="s">
        <v>174</v>
      </c>
      <c r="C148" s="1" t="s">
        <v>513</v>
      </c>
      <c r="D148" s="3" t="s">
        <v>187</v>
      </c>
    </row>
    <row r="149" spans="2:4" ht="13.8" x14ac:dyDescent="0.3">
      <c r="B149" s="89" t="s">
        <v>152</v>
      </c>
      <c r="C149" s="90">
        <v>5033083</v>
      </c>
      <c r="D149" s="3" t="s">
        <v>187</v>
      </c>
    </row>
    <row r="150" spans="2:4" x14ac:dyDescent="0.2">
      <c r="B150" s="1" t="s">
        <v>153</v>
      </c>
      <c r="C150" s="1" t="s">
        <v>514</v>
      </c>
      <c r="D150" s="3" t="s">
        <v>187</v>
      </c>
    </row>
    <row r="151" spans="2:4" x14ac:dyDescent="0.2">
      <c r="B151" s="1" t="s">
        <v>154</v>
      </c>
      <c r="C151" s="1" t="s">
        <v>515</v>
      </c>
      <c r="D151" s="3" t="s">
        <v>187</v>
      </c>
    </row>
    <row r="152" spans="2:4" ht="13.8" x14ac:dyDescent="0.3">
      <c r="B152" s="89" t="s">
        <v>155</v>
      </c>
      <c r="C152" s="90" t="str">
        <f>"5033025"</f>
        <v>5033025</v>
      </c>
      <c r="D152" s="3" t="s">
        <v>187</v>
      </c>
    </row>
    <row r="153" spans="2:4" x14ac:dyDescent="0.2">
      <c r="B153" s="1" t="s">
        <v>611</v>
      </c>
      <c r="C153" s="1" t="s">
        <v>516</v>
      </c>
      <c r="D153" s="3" t="s">
        <v>187</v>
      </c>
    </row>
    <row r="154" spans="2:4" x14ac:dyDescent="0.2">
      <c r="B154" s="1" t="s">
        <v>156</v>
      </c>
      <c r="C154" s="1" t="s">
        <v>517</v>
      </c>
      <c r="D154" s="3" t="s">
        <v>187</v>
      </c>
    </row>
    <row r="155" spans="2:4" x14ac:dyDescent="0.2">
      <c r="B155" s="98" t="s">
        <v>322</v>
      </c>
      <c r="C155" s="98">
        <v>5040</v>
      </c>
      <c r="D155" s="99" t="s">
        <v>188</v>
      </c>
    </row>
    <row r="156" spans="2:4" x14ac:dyDescent="0.2">
      <c r="B156" s="1" t="s">
        <v>175</v>
      </c>
      <c r="C156" s="1" t="s">
        <v>518</v>
      </c>
      <c r="D156" s="3" t="s">
        <v>188</v>
      </c>
    </row>
    <row r="157" spans="2:4" ht="13.8" x14ac:dyDescent="0.3">
      <c r="B157" s="89" t="s">
        <v>12</v>
      </c>
      <c r="C157" s="90" t="str">
        <f>"5040175"</f>
        <v>5040175</v>
      </c>
      <c r="D157" s="3" t="s">
        <v>188</v>
      </c>
    </row>
    <row r="158" spans="2:4" x14ac:dyDescent="0.2">
      <c r="B158" s="1" t="s">
        <v>17</v>
      </c>
      <c r="C158" s="1" t="s">
        <v>519</v>
      </c>
      <c r="D158" s="3" t="s">
        <v>188</v>
      </c>
    </row>
    <row r="159" spans="2:4" x14ac:dyDescent="0.2">
      <c r="B159" s="1" t="s">
        <v>333</v>
      </c>
      <c r="C159" s="1">
        <v>5040150</v>
      </c>
      <c r="D159" s="3" t="s">
        <v>188</v>
      </c>
    </row>
    <row r="160" spans="2:4" x14ac:dyDescent="0.2">
      <c r="B160" s="1" t="s">
        <v>22</v>
      </c>
      <c r="C160" s="1" t="s">
        <v>520</v>
      </c>
      <c r="D160" s="3" t="s">
        <v>188</v>
      </c>
    </row>
    <row r="161" spans="2:4" x14ac:dyDescent="0.2">
      <c r="B161" s="1" t="s">
        <v>30</v>
      </c>
      <c r="C161" s="1" t="s">
        <v>521</v>
      </c>
      <c r="D161" s="3" t="s">
        <v>188</v>
      </c>
    </row>
    <row r="162" spans="2:4" x14ac:dyDescent="0.2">
      <c r="B162" s="1" t="s">
        <v>347</v>
      </c>
      <c r="C162" s="1">
        <v>5040170</v>
      </c>
      <c r="D162" s="3" t="s">
        <v>188</v>
      </c>
    </row>
    <row r="163" spans="2:4" x14ac:dyDescent="0.2">
      <c r="B163" s="1" t="s">
        <v>36</v>
      </c>
      <c r="C163" s="1" t="s">
        <v>522</v>
      </c>
      <c r="D163" s="3" t="s">
        <v>188</v>
      </c>
    </row>
    <row r="164" spans="2:4" x14ac:dyDescent="0.2">
      <c r="B164" s="1" t="s">
        <v>42</v>
      </c>
      <c r="C164" s="1" t="s">
        <v>523</v>
      </c>
      <c r="D164" s="3" t="s">
        <v>188</v>
      </c>
    </row>
    <row r="165" spans="2:4" x14ac:dyDescent="0.2">
      <c r="B165" s="1" t="s">
        <v>51</v>
      </c>
      <c r="C165" s="1" t="s">
        <v>524</v>
      </c>
      <c r="D165" s="3" t="s">
        <v>188</v>
      </c>
    </row>
    <row r="166" spans="2:4" x14ac:dyDescent="0.2">
      <c r="B166" s="1" t="s">
        <v>60</v>
      </c>
      <c r="C166" s="1" t="s">
        <v>525</v>
      </c>
      <c r="D166" s="3" t="s">
        <v>188</v>
      </c>
    </row>
    <row r="167" spans="2:4" x14ac:dyDescent="0.2">
      <c r="B167" s="1" t="s">
        <v>369</v>
      </c>
      <c r="C167" s="1" t="s">
        <v>526</v>
      </c>
      <c r="D167" s="3" t="s">
        <v>188</v>
      </c>
    </row>
    <row r="168" spans="2:4" x14ac:dyDescent="0.2">
      <c r="B168" s="1" t="s">
        <v>76</v>
      </c>
      <c r="C168" s="1" t="s">
        <v>527</v>
      </c>
      <c r="D168" s="3" t="s">
        <v>188</v>
      </c>
    </row>
    <row r="169" spans="2:4" x14ac:dyDescent="0.2">
      <c r="B169" s="1" t="s">
        <v>83</v>
      </c>
      <c r="C169" s="1" t="s">
        <v>528</v>
      </c>
      <c r="D169" s="3" t="s">
        <v>188</v>
      </c>
    </row>
    <row r="170" spans="2:4" x14ac:dyDescent="0.2">
      <c r="B170" s="98" t="s">
        <v>323</v>
      </c>
      <c r="C170" s="98">
        <v>5047</v>
      </c>
      <c r="D170" s="99" t="s">
        <v>189</v>
      </c>
    </row>
    <row r="171" spans="2:4" x14ac:dyDescent="0.2">
      <c r="B171" s="1" t="s">
        <v>310</v>
      </c>
      <c r="C171" s="1" t="s">
        <v>529</v>
      </c>
      <c r="D171" s="3" t="s">
        <v>189</v>
      </c>
    </row>
    <row r="172" spans="2:4" x14ac:dyDescent="0.2">
      <c r="B172" s="1" t="s">
        <v>31</v>
      </c>
      <c r="C172" s="1" t="s">
        <v>530</v>
      </c>
      <c r="D172" s="3" t="s">
        <v>189</v>
      </c>
    </row>
    <row r="173" spans="2:4" x14ac:dyDescent="0.2">
      <c r="B173" s="1" t="s">
        <v>37</v>
      </c>
      <c r="C173" s="1" t="s">
        <v>531</v>
      </c>
      <c r="D173" s="3" t="s">
        <v>189</v>
      </c>
    </row>
    <row r="174" spans="2:4" x14ac:dyDescent="0.2">
      <c r="B174" s="1" t="s">
        <v>52</v>
      </c>
      <c r="C174" s="1" t="s">
        <v>532</v>
      </c>
      <c r="D174" s="3" t="s">
        <v>189</v>
      </c>
    </row>
    <row r="175" spans="2:4" ht="13.8" x14ac:dyDescent="0.3">
      <c r="B175" s="89" t="s">
        <v>43</v>
      </c>
      <c r="C175" s="90" t="str">
        <f>"5047214"</f>
        <v>5047214</v>
      </c>
      <c r="D175" s="3" t="s">
        <v>189</v>
      </c>
    </row>
    <row r="176" spans="2:4" x14ac:dyDescent="0.2">
      <c r="B176" s="1" t="s">
        <v>61</v>
      </c>
      <c r="C176" s="1" t="s">
        <v>533</v>
      </c>
      <c r="D176" s="3" t="s">
        <v>189</v>
      </c>
    </row>
    <row r="177" spans="2:14" x14ac:dyDescent="0.2">
      <c r="B177" s="1" t="s">
        <v>348</v>
      </c>
      <c r="C177" s="1" t="s">
        <v>534</v>
      </c>
      <c r="D177" s="3" t="s">
        <v>189</v>
      </c>
    </row>
    <row r="178" spans="2:14" x14ac:dyDescent="0.2">
      <c r="B178" s="1" t="s">
        <v>176</v>
      </c>
      <c r="C178" s="1" t="s">
        <v>535</v>
      </c>
      <c r="D178" s="3" t="s">
        <v>189</v>
      </c>
    </row>
    <row r="179" spans="2:14" x14ac:dyDescent="0.2">
      <c r="B179" s="1" t="s">
        <v>77</v>
      </c>
      <c r="C179" s="1" t="s">
        <v>536</v>
      </c>
      <c r="D179" s="3" t="s">
        <v>189</v>
      </c>
    </row>
    <row r="180" spans="2:14" x14ac:dyDescent="0.2">
      <c r="B180" s="1" t="s">
        <v>84</v>
      </c>
      <c r="C180" s="1" t="s">
        <v>537</v>
      </c>
      <c r="D180" s="3" t="s">
        <v>189</v>
      </c>
    </row>
    <row r="181" spans="2:14" x14ac:dyDescent="0.2">
      <c r="B181" s="1" t="s">
        <v>610</v>
      </c>
      <c r="C181" s="1">
        <v>5047233</v>
      </c>
      <c r="D181" s="3" t="s">
        <v>189</v>
      </c>
    </row>
    <row r="182" spans="2:14" x14ac:dyDescent="0.2">
      <c r="B182" s="1" t="s">
        <v>177</v>
      </c>
      <c r="C182" s="1" t="s">
        <v>538</v>
      </c>
      <c r="D182" s="3" t="s">
        <v>189</v>
      </c>
    </row>
    <row r="183" spans="2:14" x14ac:dyDescent="0.2">
      <c r="B183" s="1" t="s">
        <v>178</v>
      </c>
      <c r="C183" s="1" t="s">
        <v>539</v>
      </c>
      <c r="D183" s="3" t="s">
        <v>189</v>
      </c>
    </row>
    <row r="184" spans="2:14" ht="13.8" x14ac:dyDescent="0.3">
      <c r="B184" s="89" t="s">
        <v>94</v>
      </c>
      <c r="C184" s="90" t="str">
        <f>"5047211"</f>
        <v>5047211</v>
      </c>
      <c r="D184" s="3" t="s">
        <v>189</v>
      </c>
    </row>
    <row r="185" spans="2:14" x14ac:dyDescent="0.2">
      <c r="B185" s="1" t="s">
        <v>376</v>
      </c>
      <c r="C185" s="1" t="s">
        <v>540</v>
      </c>
      <c r="D185" s="3" t="s">
        <v>189</v>
      </c>
    </row>
    <row r="186" spans="2:14" x14ac:dyDescent="0.2">
      <c r="B186" s="1" t="s">
        <v>382</v>
      </c>
      <c r="C186" s="1" t="s">
        <v>541</v>
      </c>
      <c r="D186" s="3" t="s">
        <v>189</v>
      </c>
      <c r="K186" s="2"/>
      <c r="M186" s="2"/>
      <c r="N186" s="2"/>
    </row>
    <row r="187" spans="2:14" x14ac:dyDescent="0.2">
      <c r="B187" s="98" t="s">
        <v>342</v>
      </c>
      <c r="C187" s="98">
        <v>5064</v>
      </c>
      <c r="D187" s="99" t="s">
        <v>190</v>
      </c>
    </row>
    <row r="188" spans="2:14" x14ac:dyDescent="0.2">
      <c r="B188" s="1" t="s">
        <v>311</v>
      </c>
      <c r="C188" s="1" t="s">
        <v>542</v>
      </c>
      <c r="D188" s="3" t="s">
        <v>190</v>
      </c>
    </row>
    <row r="189" spans="2:14" x14ac:dyDescent="0.2">
      <c r="B189" s="1" t="s">
        <v>179</v>
      </c>
      <c r="C189" s="1" t="s">
        <v>543</v>
      </c>
      <c r="D189" s="3" t="s">
        <v>190</v>
      </c>
    </row>
    <row r="190" spans="2:14" x14ac:dyDescent="0.2">
      <c r="B190" s="1" t="s">
        <v>23</v>
      </c>
      <c r="C190" s="1" t="s">
        <v>544</v>
      </c>
      <c r="D190" s="3" t="s">
        <v>190</v>
      </c>
    </row>
    <row r="191" spans="2:14" ht="13.8" x14ac:dyDescent="0.3">
      <c r="B191" s="89" t="s">
        <v>180</v>
      </c>
      <c r="C191" s="90" t="str">
        <f>"5064316"</f>
        <v>5064316</v>
      </c>
      <c r="D191" s="3" t="s">
        <v>190</v>
      </c>
      <c r="H191" s="7"/>
      <c r="J191" s="7"/>
    </row>
    <row r="192" spans="2:14" x14ac:dyDescent="0.2">
      <c r="B192" s="1" t="s">
        <v>38</v>
      </c>
      <c r="C192" s="1" t="s">
        <v>545</v>
      </c>
      <c r="D192" s="3" t="s">
        <v>190</v>
      </c>
    </row>
    <row r="193" spans="2:4" x14ac:dyDescent="0.2">
      <c r="B193" s="1" t="s">
        <v>44</v>
      </c>
      <c r="C193" s="1" t="s">
        <v>546</v>
      </c>
      <c r="D193" s="3" t="s">
        <v>190</v>
      </c>
    </row>
    <row r="194" spans="2:4" x14ac:dyDescent="0.2">
      <c r="B194" s="1" t="s">
        <v>53</v>
      </c>
      <c r="C194" s="1" t="s">
        <v>547</v>
      </c>
      <c r="D194" s="3" t="s">
        <v>190</v>
      </c>
    </row>
    <row r="195" spans="2:4" x14ac:dyDescent="0.2">
      <c r="B195" s="1" t="s">
        <v>62</v>
      </c>
      <c r="C195" s="1" t="s">
        <v>548</v>
      </c>
      <c r="D195" s="3" t="s">
        <v>190</v>
      </c>
    </row>
    <row r="196" spans="2:4" x14ac:dyDescent="0.2">
      <c r="B196" s="1" t="s">
        <v>356</v>
      </c>
      <c r="C196" s="1" t="s">
        <v>549</v>
      </c>
      <c r="D196" s="3" t="s">
        <v>190</v>
      </c>
    </row>
    <row r="197" spans="2:4" x14ac:dyDescent="0.2">
      <c r="B197" s="1" t="s">
        <v>89</v>
      </c>
      <c r="C197" s="1" t="s">
        <v>550</v>
      </c>
      <c r="D197" s="3" t="s">
        <v>190</v>
      </c>
    </row>
    <row r="198" spans="2:4" x14ac:dyDescent="0.2">
      <c r="B198" s="1" t="s">
        <v>95</v>
      </c>
      <c r="C198" s="1" t="s">
        <v>551</v>
      </c>
      <c r="D198" s="3" t="s">
        <v>190</v>
      </c>
    </row>
    <row r="199" spans="2:4" x14ac:dyDescent="0.2">
      <c r="B199" s="1" t="s">
        <v>370</v>
      </c>
      <c r="C199" s="1" t="s">
        <v>552</v>
      </c>
      <c r="D199" s="3" t="s">
        <v>190</v>
      </c>
    </row>
    <row r="200" spans="2:4" x14ac:dyDescent="0.2">
      <c r="B200" s="1" t="s">
        <v>104</v>
      </c>
      <c r="C200" s="1" t="s">
        <v>553</v>
      </c>
      <c r="D200" s="3" t="s">
        <v>190</v>
      </c>
    </row>
    <row r="201" spans="2:4" x14ac:dyDescent="0.2">
      <c r="B201" s="1" t="s">
        <v>111</v>
      </c>
      <c r="C201" s="1" t="s">
        <v>554</v>
      </c>
      <c r="D201" s="3" t="s">
        <v>190</v>
      </c>
    </row>
    <row r="202" spans="2:4" x14ac:dyDescent="0.2">
      <c r="B202" s="1" t="s">
        <v>115</v>
      </c>
      <c r="C202" s="1" t="s">
        <v>555</v>
      </c>
      <c r="D202" s="3" t="s">
        <v>190</v>
      </c>
    </row>
    <row r="203" spans="2:4" x14ac:dyDescent="0.2">
      <c r="B203" s="1" t="s">
        <v>391</v>
      </c>
      <c r="C203" s="1" t="s">
        <v>556</v>
      </c>
      <c r="D203" s="3" t="s">
        <v>190</v>
      </c>
    </row>
    <row r="204" spans="2:4" x14ac:dyDescent="0.2">
      <c r="B204" s="1" t="s">
        <v>395</v>
      </c>
      <c r="C204" s="1" t="s">
        <v>557</v>
      </c>
      <c r="D204" s="3" t="s">
        <v>190</v>
      </c>
    </row>
    <row r="205" spans="2:4" x14ac:dyDescent="0.2">
      <c r="B205" s="1" t="s">
        <v>120</v>
      </c>
      <c r="C205" s="1" t="s">
        <v>558</v>
      </c>
      <c r="D205" s="3" t="s">
        <v>190</v>
      </c>
    </row>
    <row r="206" spans="2:4" x14ac:dyDescent="0.2">
      <c r="B206" s="1" t="s">
        <v>124</v>
      </c>
      <c r="C206" s="1" t="s">
        <v>559</v>
      </c>
      <c r="D206" s="3" t="s">
        <v>190</v>
      </c>
    </row>
    <row r="207" spans="2:4" x14ac:dyDescent="0.2">
      <c r="B207" s="1" t="s">
        <v>128</v>
      </c>
      <c r="C207" s="1" t="s">
        <v>560</v>
      </c>
      <c r="D207" s="3" t="s">
        <v>190</v>
      </c>
    </row>
    <row r="208" spans="2:4" x14ac:dyDescent="0.2">
      <c r="B208" s="97" t="s">
        <v>612</v>
      </c>
      <c r="C208" s="1">
        <v>5064350</v>
      </c>
      <c r="D208" s="3" t="s">
        <v>190</v>
      </c>
    </row>
    <row r="209" spans="2:4" x14ac:dyDescent="0.2">
      <c r="B209" s="1" t="s">
        <v>131</v>
      </c>
      <c r="C209" s="1" t="s">
        <v>561</v>
      </c>
      <c r="D209" s="3" t="s">
        <v>190</v>
      </c>
    </row>
    <row r="210" spans="2:4" x14ac:dyDescent="0.2">
      <c r="B210" s="1" t="s">
        <v>136</v>
      </c>
      <c r="C210" s="1" t="s">
        <v>562</v>
      </c>
      <c r="D210" s="3" t="s">
        <v>190</v>
      </c>
    </row>
    <row r="211" spans="2:4" x14ac:dyDescent="0.2">
      <c r="B211" s="1" t="s">
        <v>138</v>
      </c>
      <c r="C211" s="1" t="s">
        <v>563</v>
      </c>
      <c r="D211" s="3" t="s">
        <v>190</v>
      </c>
    </row>
    <row r="212" spans="2:4" x14ac:dyDescent="0.2">
      <c r="B212" s="1" t="s">
        <v>405</v>
      </c>
      <c r="C212" s="1" t="s">
        <v>564</v>
      </c>
      <c r="D212" s="3" t="s">
        <v>190</v>
      </c>
    </row>
    <row r="213" spans="2:4" x14ac:dyDescent="0.2">
      <c r="B213" s="98" t="s">
        <v>334</v>
      </c>
      <c r="C213" s="98">
        <v>5079</v>
      </c>
      <c r="D213" s="99" t="s">
        <v>191</v>
      </c>
    </row>
    <row r="214" spans="2:4" x14ac:dyDescent="0.2">
      <c r="B214" s="1" t="s">
        <v>13</v>
      </c>
      <c r="C214" s="1" t="s">
        <v>565</v>
      </c>
      <c r="D214" s="3" t="s">
        <v>191</v>
      </c>
    </row>
    <row r="215" spans="2:4" x14ac:dyDescent="0.2">
      <c r="B215" s="1" t="s">
        <v>24</v>
      </c>
      <c r="C215" s="1" t="s">
        <v>566</v>
      </c>
      <c r="D215" s="3" t="s">
        <v>191</v>
      </c>
    </row>
    <row r="216" spans="2:4" x14ac:dyDescent="0.2">
      <c r="B216" s="1" t="s">
        <v>324</v>
      </c>
      <c r="C216" s="1" t="s">
        <v>567</v>
      </c>
      <c r="D216" s="3" t="s">
        <v>191</v>
      </c>
    </row>
    <row r="217" spans="2:4" x14ac:dyDescent="0.2">
      <c r="B217" s="1" t="s">
        <v>337</v>
      </c>
      <c r="C217" s="1" t="s">
        <v>568</v>
      </c>
      <c r="D217" s="3" t="s">
        <v>191</v>
      </c>
    </row>
    <row r="218" spans="2:4" ht="13.8" x14ac:dyDescent="0.3">
      <c r="B218" s="89" t="s">
        <v>181</v>
      </c>
      <c r="C218" s="90" t="str">
        <f>"5079201"</f>
        <v>5079201</v>
      </c>
      <c r="D218" s="3" t="s">
        <v>191</v>
      </c>
    </row>
    <row r="219" spans="2:4" x14ac:dyDescent="0.2">
      <c r="B219" s="1" t="s">
        <v>343</v>
      </c>
      <c r="C219" s="1" t="s">
        <v>569</v>
      </c>
      <c r="D219" s="3" t="s">
        <v>191</v>
      </c>
    </row>
    <row r="220" spans="2:4" x14ac:dyDescent="0.2">
      <c r="B220" s="1" t="s">
        <v>63</v>
      </c>
      <c r="C220" s="1" t="s">
        <v>570</v>
      </c>
      <c r="D220" s="3" t="s">
        <v>191</v>
      </c>
    </row>
    <row r="221" spans="2:4" x14ac:dyDescent="0.2">
      <c r="B221" s="1" t="s">
        <v>69</v>
      </c>
      <c r="C221" s="1" t="s">
        <v>571</v>
      </c>
      <c r="D221" s="3" t="s">
        <v>191</v>
      </c>
    </row>
    <row r="222" spans="2:4" ht="13.8" x14ac:dyDescent="0.3">
      <c r="B222" s="89" t="s">
        <v>78</v>
      </c>
      <c r="C222" s="90" t="str">
        <f>"5079235"</f>
        <v>5079235</v>
      </c>
      <c r="D222" s="3" t="s">
        <v>191</v>
      </c>
    </row>
    <row r="223" spans="2:4" x14ac:dyDescent="0.2">
      <c r="B223" s="1" t="s">
        <v>85</v>
      </c>
      <c r="C223" s="1" t="s">
        <v>572</v>
      </c>
      <c r="D223" s="3" t="s">
        <v>191</v>
      </c>
    </row>
    <row r="224" spans="2:4" x14ac:dyDescent="0.2">
      <c r="B224" s="1" t="s">
        <v>360</v>
      </c>
      <c r="C224" s="1" t="s">
        <v>573</v>
      </c>
      <c r="D224" s="3" t="s">
        <v>191</v>
      </c>
    </row>
    <row r="225" spans="2:4" x14ac:dyDescent="0.2">
      <c r="B225" s="1" t="s">
        <v>96</v>
      </c>
      <c r="C225" s="1" t="s">
        <v>574</v>
      </c>
      <c r="D225" s="3" t="s">
        <v>191</v>
      </c>
    </row>
    <row r="226" spans="2:4" ht="13.8" x14ac:dyDescent="0.3">
      <c r="B226" s="89" t="s">
        <v>100</v>
      </c>
      <c r="C226" s="90" t="str">
        <f>"5079056"</f>
        <v>5079056</v>
      </c>
      <c r="D226" s="3" t="s">
        <v>191</v>
      </c>
    </row>
    <row r="227" spans="2:4" x14ac:dyDescent="0.2">
      <c r="B227" s="1" t="s">
        <v>371</v>
      </c>
      <c r="C227" s="1" t="s">
        <v>575</v>
      </c>
      <c r="D227" s="3" t="s">
        <v>191</v>
      </c>
    </row>
    <row r="228" spans="2:4" x14ac:dyDescent="0.2">
      <c r="B228" s="1" t="s">
        <v>377</v>
      </c>
      <c r="C228" s="1" t="s">
        <v>576</v>
      </c>
      <c r="D228" s="3" t="s">
        <v>191</v>
      </c>
    </row>
    <row r="229" spans="2:4" x14ac:dyDescent="0.2">
      <c r="B229" s="1" t="s">
        <v>383</v>
      </c>
      <c r="C229" s="1" t="s">
        <v>577</v>
      </c>
      <c r="D229" s="3" t="s">
        <v>191</v>
      </c>
    </row>
    <row r="230" spans="2:4" x14ac:dyDescent="0.2">
      <c r="B230" s="1" t="s">
        <v>387</v>
      </c>
      <c r="C230" s="1" t="s">
        <v>578</v>
      </c>
      <c r="D230" s="3" t="s">
        <v>191</v>
      </c>
    </row>
    <row r="231" spans="2:4" x14ac:dyDescent="0.2">
      <c r="B231" s="1" t="s">
        <v>116</v>
      </c>
      <c r="C231" s="1" t="s">
        <v>579</v>
      </c>
      <c r="D231" s="3" t="s">
        <v>191</v>
      </c>
    </row>
    <row r="232" spans="2:4" x14ac:dyDescent="0.2">
      <c r="B232" s="98" t="s">
        <v>338</v>
      </c>
      <c r="C232" s="98">
        <v>5086</v>
      </c>
      <c r="D232" s="100" t="s">
        <v>192</v>
      </c>
    </row>
    <row r="233" spans="2:4" x14ac:dyDescent="0.2">
      <c r="B233" s="1" t="s">
        <v>312</v>
      </c>
      <c r="C233" s="1" t="s">
        <v>580</v>
      </c>
      <c r="D233" s="3" t="s">
        <v>192</v>
      </c>
    </row>
    <row r="234" spans="2:4" x14ac:dyDescent="0.2">
      <c r="B234" s="1" t="s">
        <v>318</v>
      </c>
      <c r="C234" s="1" t="s">
        <v>581</v>
      </c>
      <c r="D234" s="3" t="s">
        <v>192</v>
      </c>
    </row>
    <row r="235" spans="2:4" x14ac:dyDescent="0.2">
      <c r="B235" s="1" t="s">
        <v>325</v>
      </c>
      <c r="C235" s="1" t="s">
        <v>582</v>
      </c>
      <c r="D235" s="3" t="s">
        <v>192</v>
      </c>
    </row>
    <row r="236" spans="2:4" x14ac:dyDescent="0.2">
      <c r="B236" s="1" t="s">
        <v>335</v>
      </c>
      <c r="C236" s="1" t="s">
        <v>583</v>
      </c>
      <c r="D236" s="3" t="s">
        <v>192</v>
      </c>
    </row>
    <row r="237" spans="2:4" x14ac:dyDescent="0.2">
      <c r="B237" s="1" t="s">
        <v>344</v>
      </c>
      <c r="C237" s="1" t="s">
        <v>584</v>
      </c>
      <c r="D237" s="3" t="s">
        <v>192</v>
      </c>
    </row>
    <row r="238" spans="2:4" ht="13.8" x14ac:dyDescent="0.3">
      <c r="B238" s="89" t="s">
        <v>54</v>
      </c>
      <c r="C238" s="90" t="str">
        <f>"5086214"</f>
        <v>5086214</v>
      </c>
      <c r="D238" s="3" t="s">
        <v>192</v>
      </c>
    </row>
    <row r="239" spans="2:4" x14ac:dyDescent="0.2">
      <c r="B239" s="1" t="s">
        <v>349</v>
      </c>
      <c r="C239" s="1" t="s">
        <v>585</v>
      </c>
      <c r="D239" s="3" t="s">
        <v>192</v>
      </c>
    </row>
    <row r="240" spans="2:4" x14ac:dyDescent="0.2">
      <c r="B240" s="1" t="s">
        <v>70</v>
      </c>
      <c r="C240" s="1" t="s">
        <v>586</v>
      </c>
      <c r="D240" s="3" t="s">
        <v>192</v>
      </c>
    </row>
    <row r="241" spans="2:4" x14ac:dyDescent="0.2">
      <c r="B241" s="97" t="s">
        <v>614</v>
      </c>
      <c r="C241" s="1">
        <v>5086241</v>
      </c>
      <c r="D241" s="3" t="s">
        <v>192</v>
      </c>
    </row>
    <row r="242" spans="2:4" x14ac:dyDescent="0.2">
      <c r="B242" s="1" t="s">
        <v>357</v>
      </c>
      <c r="C242" s="1" t="s">
        <v>587</v>
      </c>
      <c r="D242" s="3" t="s">
        <v>192</v>
      </c>
    </row>
    <row r="243" spans="2:4" x14ac:dyDescent="0.2">
      <c r="B243" s="1" t="s">
        <v>361</v>
      </c>
      <c r="C243" s="1" t="s">
        <v>588</v>
      </c>
      <c r="D243" s="3" t="s">
        <v>192</v>
      </c>
    </row>
    <row r="244" spans="2:4" x14ac:dyDescent="0.2">
      <c r="B244" s="1" t="s">
        <v>365</v>
      </c>
      <c r="C244" s="1" t="s">
        <v>589</v>
      </c>
      <c r="D244" s="3" t="s">
        <v>192</v>
      </c>
    </row>
    <row r="245" spans="2:4" x14ac:dyDescent="0.2">
      <c r="B245" s="1" t="s">
        <v>372</v>
      </c>
      <c r="C245" s="1" t="s">
        <v>590</v>
      </c>
      <c r="D245" s="3" t="s">
        <v>192</v>
      </c>
    </row>
    <row r="246" spans="2:4" x14ac:dyDescent="0.2">
      <c r="B246" s="1" t="s">
        <v>378</v>
      </c>
      <c r="C246" s="1" t="s">
        <v>591</v>
      </c>
      <c r="D246" s="3" t="s">
        <v>192</v>
      </c>
    </row>
    <row r="247" spans="2:4" x14ac:dyDescent="0.2">
      <c r="B247" s="97" t="s">
        <v>615</v>
      </c>
      <c r="C247" s="1">
        <v>5086240</v>
      </c>
      <c r="D247" s="3" t="s">
        <v>192</v>
      </c>
    </row>
    <row r="248" spans="2:4" x14ac:dyDescent="0.2">
      <c r="B248" s="1" t="s">
        <v>384</v>
      </c>
      <c r="C248" s="1">
        <v>5086068</v>
      </c>
      <c r="D248" s="3" t="s">
        <v>192</v>
      </c>
    </row>
    <row r="249" spans="2:4" ht="13.8" x14ac:dyDescent="0.3">
      <c r="B249" s="89" t="s">
        <v>108</v>
      </c>
      <c r="C249" s="90" t="str">
        <f>"5086210"</f>
        <v>5086210</v>
      </c>
      <c r="D249" s="3" t="s">
        <v>192</v>
      </c>
    </row>
    <row r="250" spans="2:4" ht="13.8" x14ac:dyDescent="0.3">
      <c r="B250" s="89" t="s">
        <v>112</v>
      </c>
      <c r="C250" s="90" t="str">
        <f>"5086234"</f>
        <v>5086234</v>
      </c>
      <c r="D250" s="3" t="s">
        <v>192</v>
      </c>
    </row>
    <row r="251" spans="2:4" x14ac:dyDescent="0.2">
      <c r="B251" s="98" t="s">
        <v>353</v>
      </c>
      <c r="C251" s="98">
        <v>5087</v>
      </c>
      <c r="D251" s="99" t="s">
        <v>193</v>
      </c>
    </row>
    <row r="252" spans="2:4" x14ac:dyDescent="0.2">
      <c r="B252" s="1" t="s">
        <v>313</v>
      </c>
      <c r="C252" s="1" t="s">
        <v>592</v>
      </c>
      <c r="D252" s="3" t="s">
        <v>193</v>
      </c>
    </row>
    <row r="253" spans="2:4" x14ac:dyDescent="0.2">
      <c r="B253" s="1" t="s">
        <v>319</v>
      </c>
      <c r="C253" s="1" t="s">
        <v>593</v>
      </c>
      <c r="D253" s="3" t="s">
        <v>193</v>
      </c>
    </row>
    <row r="254" spans="2:4" x14ac:dyDescent="0.2">
      <c r="B254" s="1" t="s">
        <v>326</v>
      </c>
      <c r="C254" s="1" t="s">
        <v>594</v>
      </c>
      <c r="D254" s="3" t="s">
        <v>193</v>
      </c>
    </row>
    <row r="255" spans="2:4" x14ac:dyDescent="0.2">
      <c r="B255" s="1" t="s">
        <v>32</v>
      </c>
      <c r="C255" s="1" t="s">
        <v>595</v>
      </c>
      <c r="D255" s="3" t="s">
        <v>193</v>
      </c>
    </row>
    <row r="256" spans="2:4" x14ac:dyDescent="0.2">
      <c r="B256" s="1" t="s">
        <v>339</v>
      </c>
      <c r="C256" s="1" t="s">
        <v>596</v>
      </c>
      <c r="D256" s="3" t="s">
        <v>193</v>
      </c>
    </row>
    <row r="257" spans="2:4" x14ac:dyDescent="0.2">
      <c r="B257" s="1" t="s">
        <v>55</v>
      </c>
      <c r="C257" s="1" t="s">
        <v>597</v>
      </c>
      <c r="D257" s="3" t="s">
        <v>193</v>
      </c>
    </row>
    <row r="258" spans="2:4" x14ac:dyDescent="0.2">
      <c r="B258" s="1" t="s">
        <v>64</v>
      </c>
      <c r="C258" s="1" t="s">
        <v>598</v>
      </c>
      <c r="D258" s="3" t="s">
        <v>193</v>
      </c>
    </row>
    <row r="259" spans="2:4" x14ac:dyDescent="0.2">
      <c r="B259" s="1" t="s">
        <v>79</v>
      </c>
      <c r="C259" s="1" t="s">
        <v>599</v>
      </c>
      <c r="D259" s="3" t="s">
        <v>193</v>
      </c>
    </row>
    <row r="260" spans="2:4" x14ac:dyDescent="0.2">
      <c r="B260" s="1" t="s">
        <v>362</v>
      </c>
      <c r="C260" s="1" t="s">
        <v>600</v>
      </c>
      <c r="D260" s="3" t="s">
        <v>193</v>
      </c>
    </row>
    <row r="261" spans="2:4" x14ac:dyDescent="0.2">
      <c r="B261" s="97" t="s">
        <v>613</v>
      </c>
      <c r="C261" s="1">
        <v>5087004</v>
      </c>
      <c r="D261" s="3" t="s">
        <v>192</v>
      </c>
    </row>
    <row r="262" spans="2:4" x14ac:dyDescent="0.2">
      <c r="B262" s="1" t="s">
        <v>366</v>
      </c>
      <c r="C262" s="1" t="s">
        <v>601</v>
      </c>
      <c r="D262" s="3" t="s">
        <v>193</v>
      </c>
    </row>
    <row r="263" spans="2:4" x14ac:dyDescent="0.2">
      <c r="B263" s="1" t="s">
        <v>373</v>
      </c>
      <c r="C263" s="1" t="s">
        <v>602</v>
      </c>
      <c r="D263" s="3" t="s">
        <v>193</v>
      </c>
    </row>
    <row r="264" spans="2:4" x14ac:dyDescent="0.2">
      <c r="B264" s="1" t="s">
        <v>97</v>
      </c>
      <c r="C264" s="1" t="s">
        <v>603</v>
      </c>
      <c r="D264" s="3" t="s">
        <v>193</v>
      </c>
    </row>
    <row r="265" spans="2:4" x14ac:dyDescent="0.2">
      <c r="B265" s="1" t="s">
        <v>101</v>
      </c>
      <c r="C265" s="1" t="s">
        <v>604</v>
      </c>
      <c r="D265" s="3" t="s">
        <v>193</v>
      </c>
    </row>
    <row r="266" spans="2:4" x14ac:dyDescent="0.2">
      <c r="B266" s="1" t="s">
        <v>105</v>
      </c>
      <c r="C266" s="1" t="s">
        <v>605</v>
      </c>
      <c r="D266" s="3" t="s">
        <v>193</v>
      </c>
    </row>
    <row r="267" spans="2:4" x14ac:dyDescent="0.2">
      <c r="B267" s="1" t="s">
        <v>392</v>
      </c>
      <c r="C267" s="1" t="s">
        <v>606</v>
      </c>
      <c r="D267" s="3" t="s">
        <v>193</v>
      </c>
    </row>
    <row r="268" spans="2:4" ht="13.8" x14ac:dyDescent="0.3">
      <c r="B268" s="93" t="s">
        <v>113</v>
      </c>
      <c r="C268" s="90" t="str">
        <f>"5087048"</f>
        <v>5087048</v>
      </c>
      <c r="D268" s="3" t="s">
        <v>193</v>
      </c>
    </row>
    <row r="269" spans="2:4" x14ac:dyDescent="0.2">
      <c r="B269" s="1" t="s">
        <v>396</v>
      </c>
      <c r="C269" s="1" t="s">
        <v>607</v>
      </c>
      <c r="D269" s="3" t="s">
        <v>193</v>
      </c>
    </row>
    <row r="270" spans="2:4" ht="13.8" x14ac:dyDescent="0.3">
      <c r="B270" s="93" t="s">
        <v>121</v>
      </c>
      <c r="C270" s="90" t="str">
        <f>"5087040"</f>
        <v>5087040</v>
      </c>
      <c r="D270" s="3" t="s">
        <v>193</v>
      </c>
    </row>
    <row r="271" spans="2:4" ht="13.8" x14ac:dyDescent="0.3">
      <c r="B271" s="93" t="s">
        <v>125</v>
      </c>
      <c r="C271" s="90" t="str">
        <f>"5087036"</f>
        <v>5087036</v>
      </c>
      <c r="D271" s="3" t="s">
        <v>193</v>
      </c>
    </row>
    <row r="272" spans="2:4" x14ac:dyDescent="0.2">
      <c r="B272" s="1" t="s">
        <v>398</v>
      </c>
      <c r="C272" s="1" t="s">
        <v>608</v>
      </c>
      <c r="D272" s="3" t="s">
        <v>193</v>
      </c>
    </row>
    <row r="273" spans="2:4" x14ac:dyDescent="0.2">
      <c r="B273" s="1" t="s">
        <v>132</v>
      </c>
      <c r="C273" s="1" t="s">
        <v>609</v>
      </c>
      <c r="D273" s="3" t="s">
        <v>193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C451-BF3D-4A4C-9879-514E9248801F}">
  <dimension ref="B2:AG183"/>
  <sheetViews>
    <sheetView topLeftCell="B59" workbookViewId="0">
      <selection activeCell="G67" sqref="G67:G87"/>
    </sheetView>
  </sheetViews>
  <sheetFormatPr baseColWidth="10" defaultColWidth="11.44140625" defaultRowHeight="10.199999999999999" x14ac:dyDescent="0.2"/>
  <cols>
    <col min="1" max="1" width="11.44140625" style="1"/>
    <col min="2" max="22" width="20.6640625" style="1" customWidth="1"/>
    <col min="23" max="23" width="4.6640625" style="1" customWidth="1"/>
    <col min="24" max="24" width="10.6640625" style="1" customWidth="1"/>
    <col min="25" max="28" width="5.6640625" style="5" customWidth="1"/>
    <col min="29" max="29" width="4.6640625" style="1" customWidth="1"/>
    <col min="30" max="30" width="8.6640625" style="1" customWidth="1"/>
    <col min="31" max="31" width="5.6640625" style="1" customWidth="1"/>
    <col min="32" max="32" width="4.6640625" style="1" customWidth="1"/>
    <col min="33" max="33" width="10.6640625" style="1" customWidth="1"/>
    <col min="34" max="34" width="15.6640625" style="1" customWidth="1"/>
    <col min="35" max="35" width="4.6640625" style="1" customWidth="1"/>
    <col min="36" max="36" width="6.6640625" style="1" customWidth="1"/>
    <col min="37" max="37" width="15.6640625" style="1" customWidth="1"/>
    <col min="38" max="38" width="4.6640625" style="1" customWidth="1"/>
    <col min="39" max="39" width="6.6640625" style="1" customWidth="1"/>
    <col min="40" max="40" width="15.6640625" style="1" customWidth="1"/>
    <col min="41" max="41" width="4.6640625" style="1" customWidth="1"/>
    <col min="42" max="42" width="6.6640625" style="1" customWidth="1"/>
    <col min="43" max="43" width="15.6640625" style="1" customWidth="1"/>
    <col min="44" max="44" width="4.6640625" style="1" customWidth="1"/>
    <col min="45" max="45" width="6.6640625" style="1" customWidth="1"/>
    <col min="46" max="46" width="15.6640625" style="1" customWidth="1"/>
    <col min="47" max="47" width="4.6640625" style="1" customWidth="1"/>
    <col min="48" max="48" width="6.6640625" style="1" customWidth="1"/>
    <col min="49" max="49" width="15.6640625" style="1" customWidth="1"/>
    <col min="50" max="50" width="4.6640625" style="1" customWidth="1"/>
    <col min="51" max="51" width="6.6640625" style="1" customWidth="1"/>
    <col min="52" max="52" width="11.44140625" style="1"/>
    <col min="53" max="53" width="4.6640625" style="1" customWidth="1"/>
    <col min="54" max="54" width="6.6640625" style="1" customWidth="1"/>
    <col min="55" max="55" width="15.6640625" style="1" customWidth="1"/>
    <col min="56" max="16384" width="11.44140625" style="1"/>
  </cols>
  <sheetData>
    <row r="2" spans="2:7" x14ac:dyDescent="0.2">
      <c r="B2" s="2" t="s">
        <v>217</v>
      </c>
      <c r="C2" s="2" t="s">
        <v>218</v>
      </c>
      <c r="D2" s="2" t="s">
        <v>234</v>
      </c>
      <c r="E2" s="2" t="s">
        <v>272</v>
      </c>
      <c r="F2" s="2" t="s">
        <v>223</v>
      </c>
      <c r="G2" s="2" t="s">
        <v>219</v>
      </c>
    </row>
    <row r="3" spans="2:7" x14ac:dyDescent="0.2">
      <c r="B3" s="1" t="s">
        <v>237</v>
      </c>
      <c r="C3" s="1" t="s">
        <v>221</v>
      </c>
      <c r="D3" s="1" t="s">
        <v>235</v>
      </c>
      <c r="E3" s="1" t="s">
        <v>227</v>
      </c>
      <c r="F3" s="1" t="s">
        <v>227</v>
      </c>
      <c r="G3" s="1" t="s">
        <v>229</v>
      </c>
    </row>
    <row r="4" spans="2:7" x14ac:dyDescent="0.2">
      <c r="B4" s="1" t="s">
        <v>273</v>
      </c>
      <c r="C4" s="1" t="s">
        <v>274</v>
      </c>
      <c r="D4" s="1" t="s">
        <v>227</v>
      </c>
      <c r="E4" s="1" t="s">
        <v>228</v>
      </c>
      <c r="F4" s="1" t="s">
        <v>226</v>
      </c>
      <c r="G4" s="1" t="s">
        <v>230</v>
      </c>
    </row>
    <row r="5" spans="2:7" x14ac:dyDescent="0.2">
      <c r="B5" s="1" t="s">
        <v>275</v>
      </c>
      <c r="C5" s="1" t="s">
        <v>220</v>
      </c>
      <c r="D5" s="1" t="s">
        <v>276</v>
      </c>
      <c r="G5" s="1" t="s">
        <v>231</v>
      </c>
    </row>
    <row r="6" spans="2:7" x14ac:dyDescent="0.2">
      <c r="B6" s="86" t="s">
        <v>277</v>
      </c>
      <c r="C6" s="1" t="s">
        <v>278</v>
      </c>
      <c r="D6" s="1" t="s">
        <v>279</v>
      </c>
    </row>
    <row r="7" spans="2:7" x14ac:dyDescent="0.2">
      <c r="B7" s="1" t="s">
        <v>280</v>
      </c>
      <c r="C7" s="1" t="s">
        <v>225</v>
      </c>
    </row>
    <row r="8" spans="2:7" x14ac:dyDescent="0.2">
      <c r="B8" s="1" t="s">
        <v>281</v>
      </c>
      <c r="C8" s="1" t="s">
        <v>222</v>
      </c>
    </row>
    <row r="9" spans="2:7" x14ac:dyDescent="0.2">
      <c r="B9" s="86" t="s">
        <v>282</v>
      </c>
      <c r="C9" s="1" t="s">
        <v>224</v>
      </c>
    </row>
    <row r="10" spans="2:7" x14ac:dyDescent="0.2">
      <c r="B10" s="1" t="s">
        <v>283</v>
      </c>
      <c r="C10" s="3" t="s">
        <v>263</v>
      </c>
    </row>
    <row r="11" spans="2:7" x14ac:dyDescent="0.2">
      <c r="B11" s="1" t="s">
        <v>284</v>
      </c>
      <c r="C11" s="1" t="s">
        <v>285</v>
      </c>
    </row>
    <row r="12" spans="2:7" x14ac:dyDescent="0.2">
      <c r="B12" s="1" t="s">
        <v>286</v>
      </c>
      <c r="C12" s="1" t="s">
        <v>287</v>
      </c>
    </row>
    <row r="13" spans="2:7" x14ac:dyDescent="0.2">
      <c r="B13" s="1" t="s">
        <v>288</v>
      </c>
      <c r="C13" s="1" t="s">
        <v>226</v>
      </c>
    </row>
    <row r="14" spans="2:7" x14ac:dyDescent="0.2">
      <c r="B14" s="1" t="s">
        <v>289</v>
      </c>
      <c r="C14" s="1" t="s">
        <v>290</v>
      </c>
    </row>
    <row r="15" spans="2:7" x14ac:dyDescent="0.2">
      <c r="B15" s="1" t="s">
        <v>291</v>
      </c>
    </row>
    <row r="16" spans="2:7" x14ac:dyDescent="0.2">
      <c r="B16" s="1" t="s">
        <v>292</v>
      </c>
    </row>
    <row r="17" spans="2:3" x14ac:dyDescent="0.2">
      <c r="B17" s="1" t="s">
        <v>293</v>
      </c>
    </row>
    <row r="18" spans="2:3" x14ac:dyDescent="0.2">
      <c r="B18" s="1" t="s">
        <v>294</v>
      </c>
    </row>
    <row r="19" spans="2:3" x14ac:dyDescent="0.2">
      <c r="B19" s="1" t="s">
        <v>295</v>
      </c>
    </row>
    <row r="20" spans="2:3" x14ac:dyDescent="0.2">
      <c r="B20" s="1" t="s">
        <v>296</v>
      </c>
    </row>
    <row r="21" spans="2:3" x14ac:dyDescent="0.2">
      <c r="B21" s="1" t="s">
        <v>297</v>
      </c>
    </row>
    <row r="22" spans="2:3" x14ac:dyDescent="0.2">
      <c r="B22" s="1" t="s">
        <v>298</v>
      </c>
    </row>
    <row r="23" spans="2:3" x14ac:dyDescent="0.2">
      <c r="B23" s="1" t="s">
        <v>230</v>
      </c>
    </row>
    <row r="24" spans="2:3" x14ac:dyDescent="0.2">
      <c r="B24" s="1" t="s">
        <v>299</v>
      </c>
    </row>
    <row r="25" spans="2:3" x14ac:dyDescent="0.2">
      <c r="B25" s="1" t="s">
        <v>300</v>
      </c>
    </row>
    <row r="26" spans="2:3" x14ac:dyDescent="0.2">
      <c r="B26" s="1" t="s">
        <v>301</v>
      </c>
    </row>
    <row r="27" spans="2:3" x14ac:dyDescent="0.2">
      <c r="B27" s="1" t="s">
        <v>232</v>
      </c>
    </row>
    <row r="28" spans="2:3" x14ac:dyDescent="0.2">
      <c r="B28" s="1" t="s">
        <v>302</v>
      </c>
    </row>
    <row r="29" spans="2:3" x14ac:dyDescent="0.2">
      <c r="B29" s="1" t="s">
        <v>303</v>
      </c>
      <c r="C29" s="87"/>
    </row>
    <row r="30" spans="2:3" x14ac:dyDescent="0.2">
      <c r="B30" s="1" t="s">
        <v>233</v>
      </c>
    </row>
    <row r="31" spans="2:3" x14ac:dyDescent="0.2">
      <c r="B31" s="1" t="s">
        <v>236</v>
      </c>
    </row>
    <row r="32" spans="2:3" x14ac:dyDescent="0.2">
      <c r="B32" s="1" t="s">
        <v>226</v>
      </c>
    </row>
    <row r="33" spans="2:33" x14ac:dyDescent="0.2">
      <c r="B33" s="1" t="s">
        <v>304</v>
      </c>
    </row>
    <row r="34" spans="2:33" x14ac:dyDescent="0.2">
      <c r="B34" s="1" t="s">
        <v>305</v>
      </c>
    </row>
    <row r="35" spans="2:33" x14ac:dyDescent="0.2">
      <c r="B35" s="1" t="s">
        <v>306</v>
      </c>
    </row>
    <row r="36" spans="2:33" x14ac:dyDescent="0.2">
      <c r="B36" s="1" t="s">
        <v>307</v>
      </c>
    </row>
    <row r="42" spans="2:33" s="2" customFormat="1" x14ac:dyDescent="0.2">
      <c r="B42" s="2" t="s">
        <v>182</v>
      </c>
      <c r="C42" s="2" t="s">
        <v>183</v>
      </c>
      <c r="D42" s="2" t="s">
        <v>184</v>
      </c>
      <c r="E42" s="2" t="s">
        <v>185</v>
      </c>
      <c r="F42" s="2" t="s">
        <v>186</v>
      </c>
      <c r="G42" s="2" t="s">
        <v>187</v>
      </c>
      <c r="H42" s="2" t="s">
        <v>188</v>
      </c>
      <c r="I42" s="2" t="s">
        <v>189</v>
      </c>
      <c r="J42" s="2" t="s">
        <v>190</v>
      </c>
      <c r="K42" s="2" t="s">
        <v>191</v>
      </c>
      <c r="L42" s="2" t="s">
        <v>192</v>
      </c>
      <c r="M42" s="2" t="s">
        <v>193</v>
      </c>
      <c r="X42" s="2" t="s">
        <v>0</v>
      </c>
      <c r="Y42" s="5"/>
      <c r="Z42" s="5"/>
      <c r="AA42" s="5"/>
      <c r="AB42" s="5"/>
      <c r="AD42" s="2" t="s">
        <v>2</v>
      </c>
      <c r="AG42" s="10" t="s">
        <v>1</v>
      </c>
    </row>
    <row r="43" spans="2:33" x14ac:dyDescent="0.2">
      <c r="B43" s="1" t="s">
        <v>308</v>
      </c>
      <c r="C43" s="1" t="s">
        <v>309</v>
      </c>
      <c r="D43" s="3" t="s">
        <v>264</v>
      </c>
      <c r="E43" s="1" t="s">
        <v>162</v>
      </c>
      <c r="F43" s="3" t="s">
        <v>16</v>
      </c>
      <c r="G43" s="1" t="s">
        <v>21</v>
      </c>
      <c r="H43" s="1" t="s">
        <v>175</v>
      </c>
      <c r="I43" s="1" t="s">
        <v>310</v>
      </c>
      <c r="J43" s="1" t="s">
        <v>311</v>
      </c>
      <c r="K43" s="1" t="s">
        <v>13</v>
      </c>
      <c r="L43" s="1" t="s">
        <v>312</v>
      </c>
      <c r="M43" s="1" t="s">
        <v>313</v>
      </c>
      <c r="N43" s="3"/>
      <c r="O43" s="3"/>
      <c r="P43" s="3"/>
      <c r="Q43" s="3"/>
      <c r="R43" s="3"/>
      <c r="S43" s="3"/>
      <c r="T43" s="3"/>
      <c r="U43" s="3"/>
      <c r="V43" s="3"/>
      <c r="X43" s="4" t="s">
        <v>7</v>
      </c>
      <c r="Y43" s="6" t="s">
        <v>3</v>
      </c>
      <c r="Z43" s="6" t="s">
        <v>4</v>
      </c>
      <c r="AA43" s="6" t="s">
        <v>5</v>
      </c>
      <c r="AB43" s="6" t="s">
        <v>6</v>
      </c>
      <c r="AD43" s="1" t="s">
        <v>9</v>
      </c>
      <c r="AE43" s="1">
        <v>51</v>
      </c>
      <c r="AG43" s="10" t="e">
        <f ca="1">AG47&amp;AG48&amp;AG49&amp;AG51&amp;AG50</f>
        <v>#REF!</v>
      </c>
    </row>
    <row r="44" spans="2:33" x14ac:dyDescent="0.2">
      <c r="B44" s="1" t="s">
        <v>314</v>
      </c>
      <c r="C44" s="1" t="s">
        <v>315</v>
      </c>
      <c r="D44" s="3" t="s">
        <v>316</v>
      </c>
      <c r="E44" s="1" t="s">
        <v>164</v>
      </c>
      <c r="F44" s="3" t="s">
        <v>20</v>
      </c>
      <c r="G44" s="1" t="s">
        <v>317</v>
      </c>
      <c r="H44" s="1" t="s">
        <v>17</v>
      </c>
      <c r="I44" s="1" t="s">
        <v>31</v>
      </c>
      <c r="J44" s="1" t="s">
        <v>179</v>
      </c>
      <c r="K44" s="1" t="s">
        <v>24</v>
      </c>
      <c r="L44" s="1" t="s">
        <v>318</v>
      </c>
      <c r="M44" s="1" t="s">
        <v>319</v>
      </c>
      <c r="X44" s="4"/>
      <c r="Y44" s="6"/>
      <c r="Z44" s="6"/>
      <c r="AA44" s="6"/>
      <c r="AB44" s="6"/>
      <c r="AD44" s="1" t="s">
        <v>14</v>
      </c>
      <c r="AE44" s="1">
        <v>35</v>
      </c>
      <c r="AG44" s="8"/>
    </row>
    <row r="45" spans="2:33" x14ac:dyDescent="0.2">
      <c r="B45" s="1" t="s">
        <v>26</v>
      </c>
      <c r="C45" s="1" t="s">
        <v>27</v>
      </c>
      <c r="D45" s="3" t="s">
        <v>320</v>
      </c>
      <c r="E45" s="4" t="s">
        <v>321</v>
      </c>
      <c r="F45" s="3" t="s">
        <v>28</v>
      </c>
      <c r="G45" s="1" t="s">
        <v>29</v>
      </c>
      <c r="H45" s="4" t="s">
        <v>322</v>
      </c>
      <c r="I45" s="4" t="s">
        <v>323</v>
      </c>
      <c r="J45" s="1" t="s">
        <v>23</v>
      </c>
      <c r="K45" s="1" t="s">
        <v>324</v>
      </c>
      <c r="L45" s="1" t="s">
        <v>325</v>
      </c>
      <c r="M45" s="1" t="s">
        <v>326</v>
      </c>
      <c r="X45" s="1" t="s">
        <v>15</v>
      </c>
      <c r="Y45" s="6">
        <v>200</v>
      </c>
      <c r="Z45" s="5">
        <v>11</v>
      </c>
      <c r="AA45" s="5">
        <f t="shared" ref="AA45:AA66" si="0">Y45-Z45</f>
        <v>189</v>
      </c>
      <c r="AB45" s="5">
        <v>2</v>
      </c>
      <c r="AD45" s="1" t="s">
        <v>18</v>
      </c>
      <c r="AE45" s="1">
        <v>28</v>
      </c>
      <c r="AG45" s="9">
        <f ca="1">TODAY()</f>
        <v>45476</v>
      </c>
    </row>
    <row r="46" spans="2:33" x14ac:dyDescent="0.2">
      <c r="B46" s="1" t="s">
        <v>327</v>
      </c>
      <c r="C46" s="1" t="s">
        <v>328</v>
      </c>
      <c r="D46" s="88" t="s">
        <v>329</v>
      </c>
      <c r="E46" s="1" t="s">
        <v>330</v>
      </c>
      <c r="F46" s="88" t="s">
        <v>331</v>
      </c>
      <c r="G46" s="1" t="s">
        <v>332</v>
      </c>
      <c r="H46" s="1" t="s">
        <v>333</v>
      </c>
      <c r="I46" s="1" t="s">
        <v>37</v>
      </c>
      <c r="J46" s="1" t="s">
        <v>38</v>
      </c>
      <c r="K46" s="4" t="s">
        <v>334</v>
      </c>
      <c r="L46" s="1" t="s">
        <v>335</v>
      </c>
      <c r="M46" s="1" t="s">
        <v>32</v>
      </c>
      <c r="X46" s="1" t="s">
        <v>19</v>
      </c>
      <c r="Y46" s="6">
        <v>160</v>
      </c>
      <c r="Z46" s="5">
        <v>11</v>
      </c>
      <c r="AA46" s="5">
        <f t="shared" si="0"/>
        <v>149</v>
      </c>
      <c r="AB46" s="5">
        <v>2</v>
      </c>
      <c r="AG46" s="8">
        <f ca="1">YEAR(AG45)</f>
        <v>2024</v>
      </c>
    </row>
    <row r="47" spans="2:33" x14ac:dyDescent="0.2">
      <c r="B47" s="1" t="s">
        <v>34</v>
      </c>
      <c r="C47" s="1" t="s">
        <v>336</v>
      </c>
      <c r="D47" s="3" t="s">
        <v>160</v>
      </c>
      <c r="E47" s="1" t="s">
        <v>35</v>
      </c>
      <c r="F47" s="3" t="s">
        <v>49</v>
      </c>
      <c r="G47" s="1" t="s">
        <v>41</v>
      </c>
      <c r="H47" s="1" t="s">
        <v>22</v>
      </c>
      <c r="I47" s="1" t="s">
        <v>52</v>
      </c>
      <c r="J47" s="1" t="s">
        <v>44</v>
      </c>
      <c r="K47" s="1" t="s">
        <v>337</v>
      </c>
      <c r="L47" s="4" t="s">
        <v>338</v>
      </c>
      <c r="M47" s="1" t="s">
        <v>339</v>
      </c>
      <c r="X47" s="1" t="s">
        <v>25</v>
      </c>
      <c r="Y47" s="6">
        <v>120</v>
      </c>
      <c r="Z47" s="5">
        <v>11</v>
      </c>
      <c r="AA47" s="5">
        <f t="shared" si="0"/>
        <v>109</v>
      </c>
      <c r="AB47" s="5">
        <v>2</v>
      </c>
      <c r="AG47" s="8" t="str">
        <f ca="1">RIGHT(AG46,1)</f>
        <v>4</v>
      </c>
    </row>
    <row r="48" spans="2:33" x14ac:dyDescent="0.2">
      <c r="B48" s="1" t="s">
        <v>340</v>
      </c>
      <c r="C48" s="1" t="s">
        <v>47</v>
      </c>
      <c r="D48" s="3" t="s">
        <v>341</v>
      </c>
      <c r="E48" s="1" t="s">
        <v>165</v>
      </c>
      <c r="F48" s="3" t="s">
        <v>58</v>
      </c>
      <c r="G48" s="138" t="s">
        <v>628</v>
      </c>
      <c r="H48" s="1" t="s">
        <v>30</v>
      </c>
      <c r="I48" s="1" t="s">
        <v>61</v>
      </c>
      <c r="J48" s="4" t="s">
        <v>342</v>
      </c>
      <c r="K48" s="1" t="s">
        <v>343</v>
      </c>
      <c r="L48" s="1" t="s">
        <v>344</v>
      </c>
      <c r="M48" s="1" t="s">
        <v>55</v>
      </c>
      <c r="X48" s="1" t="s">
        <v>10</v>
      </c>
      <c r="Y48" s="6">
        <v>87</v>
      </c>
      <c r="Z48" s="5">
        <v>11</v>
      </c>
      <c r="AA48" s="5">
        <f t="shared" si="0"/>
        <v>76</v>
      </c>
      <c r="AB48" s="5">
        <v>2</v>
      </c>
      <c r="AG48" s="8">
        <f ca="1">MONTH(AG45)</f>
        <v>7</v>
      </c>
    </row>
    <row r="49" spans="2:33" x14ac:dyDescent="0.2">
      <c r="B49" s="4" t="s">
        <v>345</v>
      </c>
      <c r="C49" s="1" t="s">
        <v>57</v>
      </c>
      <c r="D49" s="3" t="s">
        <v>346</v>
      </c>
      <c r="E49" s="1" t="s">
        <v>166</v>
      </c>
      <c r="F49" s="3" t="s">
        <v>74</v>
      </c>
      <c r="G49" s="1" t="s">
        <v>50</v>
      </c>
      <c r="H49" s="1" t="s">
        <v>347</v>
      </c>
      <c r="I49" s="1" t="s">
        <v>348</v>
      </c>
      <c r="J49" s="1" t="s">
        <v>53</v>
      </c>
      <c r="K49" s="1" t="s">
        <v>63</v>
      </c>
      <c r="L49" s="1" t="s">
        <v>349</v>
      </c>
      <c r="M49" s="1" t="s">
        <v>64</v>
      </c>
      <c r="X49" s="1" t="s">
        <v>33</v>
      </c>
      <c r="Y49" s="6">
        <v>108</v>
      </c>
      <c r="Z49" s="5">
        <v>11</v>
      </c>
      <c r="AA49" s="5">
        <f t="shared" si="0"/>
        <v>97</v>
      </c>
      <c r="AB49" s="5">
        <v>2</v>
      </c>
      <c r="AG49" s="8">
        <f ca="1">DAY(AG45)</f>
        <v>3</v>
      </c>
    </row>
    <row r="50" spans="2:33" x14ac:dyDescent="0.2">
      <c r="B50" s="1" t="s">
        <v>350</v>
      </c>
      <c r="C50" s="1" t="s">
        <v>351</v>
      </c>
      <c r="D50" s="3" t="s">
        <v>40</v>
      </c>
      <c r="E50" s="1" t="s">
        <v>167</v>
      </c>
      <c r="F50" s="3" t="s">
        <v>81</v>
      </c>
      <c r="G50" s="1" t="s">
        <v>59</v>
      </c>
      <c r="H50" s="1" t="s">
        <v>36</v>
      </c>
      <c r="I50" s="1" t="s">
        <v>176</v>
      </c>
      <c r="J50" s="1" t="s">
        <v>62</v>
      </c>
      <c r="K50" s="1" t="s">
        <v>69</v>
      </c>
      <c r="L50" s="1" t="s">
        <v>70</v>
      </c>
      <c r="M50" s="4" t="s">
        <v>353</v>
      </c>
      <c r="X50" s="1" t="s">
        <v>39</v>
      </c>
      <c r="Y50" s="6">
        <v>69</v>
      </c>
      <c r="Z50" s="5">
        <v>11</v>
      </c>
      <c r="AA50" s="5">
        <f t="shared" si="0"/>
        <v>58</v>
      </c>
      <c r="AB50" s="5">
        <v>2</v>
      </c>
      <c r="AG50" s="8">
        <f ca="1">RANDBETWEEN(1,9)</f>
        <v>9</v>
      </c>
    </row>
    <row r="51" spans="2:33" x14ac:dyDescent="0.2">
      <c r="B51" s="1" t="s">
        <v>72</v>
      </c>
      <c r="C51" s="1" t="s">
        <v>354</v>
      </c>
      <c r="D51" s="3" t="s">
        <v>48</v>
      </c>
      <c r="E51" s="1" t="s">
        <v>168</v>
      </c>
      <c r="F51" s="3" t="s">
        <v>355</v>
      </c>
      <c r="G51" s="1" t="s">
        <v>352</v>
      </c>
      <c r="H51" s="1" t="s">
        <v>42</v>
      </c>
      <c r="I51" s="1" t="s">
        <v>77</v>
      </c>
      <c r="J51" s="1" t="s">
        <v>356</v>
      </c>
      <c r="K51" s="1" t="s">
        <v>85</v>
      </c>
      <c r="L51" s="97" t="s">
        <v>614</v>
      </c>
      <c r="M51" s="1" t="s">
        <v>79</v>
      </c>
      <c r="X51" s="1" t="s">
        <v>194</v>
      </c>
      <c r="Y51" s="6">
        <v>56</v>
      </c>
      <c r="Z51" s="5">
        <v>11</v>
      </c>
      <c r="AA51" s="5">
        <f t="shared" si="0"/>
        <v>45</v>
      </c>
      <c r="AB51" s="5">
        <v>2</v>
      </c>
      <c r="AG51" s="8" t="e">
        <f>RIGHT(#REF!,3)</f>
        <v>#REF!</v>
      </c>
    </row>
    <row r="52" spans="2:33" x14ac:dyDescent="0.2">
      <c r="B52" s="1" t="s">
        <v>358</v>
      </c>
      <c r="C52" s="1" t="s">
        <v>73</v>
      </c>
      <c r="D52" s="3" t="s">
        <v>359</v>
      </c>
      <c r="E52" s="1" t="s">
        <v>169</v>
      </c>
      <c r="F52" s="3" t="s">
        <v>87</v>
      </c>
      <c r="G52" s="1" t="s">
        <v>75</v>
      </c>
      <c r="H52" s="1" t="s">
        <v>51</v>
      </c>
      <c r="I52" s="1" t="s">
        <v>84</v>
      </c>
      <c r="J52" s="1" t="s">
        <v>89</v>
      </c>
      <c r="K52" s="1" t="s">
        <v>360</v>
      </c>
      <c r="L52" s="1" t="s">
        <v>357</v>
      </c>
      <c r="M52" s="1" t="s">
        <v>362</v>
      </c>
      <c r="X52" s="1" t="s">
        <v>98</v>
      </c>
      <c r="Y52" s="6">
        <v>56</v>
      </c>
      <c r="Z52" s="5">
        <v>11</v>
      </c>
      <c r="AA52" s="5">
        <f t="shared" si="0"/>
        <v>45</v>
      </c>
      <c r="AB52" s="5">
        <v>2</v>
      </c>
    </row>
    <row r="53" spans="2:33" x14ac:dyDescent="0.2">
      <c r="B53" s="1" t="s">
        <v>363</v>
      </c>
      <c r="C53" s="1" t="s">
        <v>364</v>
      </c>
      <c r="D53" s="1" t="s">
        <v>80</v>
      </c>
      <c r="E53" s="1" t="s">
        <v>170</v>
      </c>
      <c r="F53" s="101" t="s">
        <v>617</v>
      </c>
      <c r="G53" s="1" t="s">
        <v>82</v>
      </c>
      <c r="H53" s="1" t="s">
        <v>60</v>
      </c>
      <c r="I53" s="95" t="s">
        <v>610</v>
      </c>
      <c r="J53" s="1" t="s">
        <v>95</v>
      </c>
      <c r="K53" s="1" t="s">
        <v>96</v>
      </c>
      <c r="L53" s="1" t="s">
        <v>361</v>
      </c>
      <c r="M53" s="97" t="s">
        <v>613</v>
      </c>
      <c r="X53" s="1" t="s">
        <v>102</v>
      </c>
      <c r="Y53" s="6">
        <v>56</v>
      </c>
      <c r="Z53" s="5">
        <v>11</v>
      </c>
      <c r="AA53" s="5">
        <f t="shared" si="0"/>
        <v>45</v>
      </c>
      <c r="AB53" s="5">
        <v>2</v>
      </c>
    </row>
    <row r="54" spans="2:33" x14ac:dyDescent="0.2">
      <c r="B54" s="1" t="s">
        <v>86</v>
      </c>
      <c r="C54" s="1" t="s">
        <v>367</v>
      </c>
      <c r="F54" s="3" t="s">
        <v>368</v>
      </c>
      <c r="G54" s="1" t="s">
        <v>88</v>
      </c>
      <c r="H54" s="1" t="s">
        <v>369</v>
      </c>
      <c r="I54" s="1" t="s">
        <v>177</v>
      </c>
      <c r="J54" s="1" t="s">
        <v>370</v>
      </c>
      <c r="K54" s="1" t="s">
        <v>371</v>
      </c>
      <c r="L54" s="1" t="s">
        <v>365</v>
      </c>
      <c r="M54" s="1" t="s">
        <v>366</v>
      </c>
      <c r="X54" s="1" t="s">
        <v>90</v>
      </c>
      <c r="Y54" s="6">
        <v>46</v>
      </c>
      <c r="Z54" s="5">
        <v>11</v>
      </c>
      <c r="AA54" s="5">
        <f t="shared" si="0"/>
        <v>35</v>
      </c>
      <c r="AB54" s="5">
        <v>2</v>
      </c>
    </row>
    <row r="55" spans="2:33" x14ac:dyDescent="0.2">
      <c r="B55" s="1" t="s">
        <v>91</v>
      </c>
      <c r="C55" s="4" t="s">
        <v>374</v>
      </c>
      <c r="F55" s="3" t="s">
        <v>375</v>
      </c>
      <c r="G55" s="1" t="s">
        <v>93</v>
      </c>
      <c r="H55" s="1" t="s">
        <v>76</v>
      </c>
      <c r="I55" s="1" t="s">
        <v>178</v>
      </c>
      <c r="J55" s="1" t="s">
        <v>104</v>
      </c>
      <c r="K55" s="1" t="s">
        <v>377</v>
      </c>
      <c r="L55" s="1" t="s">
        <v>372</v>
      </c>
      <c r="M55" s="1" t="s">
        <v>373</v>
      </c>
      <c r="X55" s="1" t="s">
        <v>114</v>
      </c>
      <c r="Y55" s="6">
        <v>30</v>
      </c>
      <c r="Z55" s="5">
        <v>11</v>
      </c>
      <c r="AA55" s="5">
        <f t="shared" si="0"/>
        <v>19</v>
      </c>
      <c r="AB55" s="5">
        <v>2</v>
      </c>
    </row>
    <row r="56" spans="2:33" x14ac:dyDescent="0.2">
      <c r="B56" s="1" t="s">
        <v>379</v>
      </c>
      <c r="C56" s="1" t="s">
        <v>92</v>
      </c>
      <c r="F56" s="3" t="s">
        <v>380</v>
      </c>
      <c r="G56" s="1" t="s">
        <v>103</v>
      </c>
      <c r="H56" s="1" t="s">
        <v>83</v>
      </c>
      <c r="I56" s="1" t="s">
        <v>376</v>
      </c>
      <c r="J56" s="1" t="s">
        <v>111</v>
      </c>
      <c r="K56" s="1" t="s">
        <v>383</v>
      </c>
      <c r="L56" s="1" t="s">
        <v>378</v>
      </c>
      <c r="M56" s="1" t="s">
        <v>97</v>
      </c>
      <c r="X56" s="1" t="s">
        <v>122</v>
      </c>
      <c r="Y56" s="6">
        <v>16</v>
      </c>
      <c r="Z56" s="5">
        <v>1.5</v>
      </c>
      <c r="AA56" s="5">
        <f t="shared" si="0"/>
        <v>14.5</v>
      </c>
      <c r="AB56" s="5">
        <v>2</v>
      </c>
    </row>
    <row r="57" spans="2:33" x14ac:dyDescent="0.2">
      <c r="B57" s="1" t="s">
        <v>385</v>
      </c>
      <c r="C57" s="1" t="s">
        <v>99</v>
      </c>
      <c r="F57" s="3" t="s">
        <v>110</v>
      </c>
      <c r="G57" s="1" t="s">
        <v>381</v>
      </c>
      <c r="I57" s="1" t="s">
        <v>382</v>
      </c>
      <c r="J57" s="1" t="s">
        <v>115</v>
      </c>
      <c r="K57" s="1" t="s">
        <v>387</v>
      </c>
      <c r="L57" s="97" t="s">
        <v>615</v>
      </c>
      <c r="M57" s="1" t="s">
        <v>101</v>
      </c>
      <c r="X57" s="1" t="s">
        <v>8</v>
      </c>
      <c r="Y57" s="6">
        <v>51</v>
      </c>
      <c r="Z57" s="5">
        <v>11</v>
      </c>
      <c r="AA57" s="5">
        <f t="shared" si="0"/>
        <v>40</v>
      </c>
      <c r="AB57" s="5">
        <v>2</v>
      </c>
    </row>
    <row r="58" spans="2:33" x14ac:dyDescent="0.2">
      <c r="B58" s="1" t="s">
        <v>388</v>
      </c>
      <c r="C58" s="1" t="s">
        <v>389</v>
      </c>
      <c r="F58" s="3" t="s">
        <v>118</v>
      </c>
      <c r="G58" s="1" t="s">
        <v>386</v>
      </c>
      <c r="J58" s="1" t="s">
        <v>391</v>
      </c>
      <c r="K58" s="1" t="s">
        <v>116</v>
      </c>
      <c r="L58" s="1" t="s">
        <v>384</v>
      </c>
      <c r="M58" s="1" t="s">
        <v>105</v>
      </c>
      <c r="X58" s="1" t="s">
        <v>195</v>
      </c>
      <c r="Y58" s="6">
        <v>16</v>
      </c>
      <c r="Z58" s="5">
        <v>1.5</v>
      </c>
      <c r="AA58" s="5">
        <f t="shared" si="0"/>
        <v>14.5</v>
      </c>
      <c r="AB58" s="5">
        <v>0</v>
      </c>
    </row>
    <row r="59" spans="2:33" x14ac:dyDescent="0.2">
      <c r="B59" s="1" t="s">
        <v>393</v>
      </c>
      <c r="C59" s="1" t="s">
        <v>157</v>
      </c>
      <c r="F59" s="1" t="s">
        <v>123</v>
      </c>
      <c r="G59" s="4" t="s">
        <v>390</v>
      </c>
      <c r="J59" s="1" t="s">
        <v>395</v>
      </c>
      <c r="M59" s="1" t="s">
        <v>392</v>
      </c>
      <c r="X59" s="1" t="s">
        <v>196</v>
      </c>
      <c r="Y59" s="6">
        <v>54</v>
      </c>
      <c r="Z59" s="5">
        <v>11</v>
      </c>
      <c r="AA59" s="5">
        <f t="shared" si="0"/>
        <v>43</v>
      </c>
      <c r="AB59" s="5">
        <v>2</v>
      </c>
    </row>
    <row r="60" spans="2:33" x14ac:dyDescent="0.2">
      <c r="B60" s="1" t="s">
        <v>397</v>
      </c>
      <c r="C60" s="1" t="s">
        <v>107</v>
      </c>
      <c r="F60" s="1" t="s">
        <v>126</v>
      </c>
      <c r="G60" s="1" t="s">
        <v>394</v>
      </c>
      <c r="J60" s="1" t="s">
        <v>120</v>
      </c>
      <c r="M60" s="1" t="s">
        <v>396</v>
      </c>
      <c r="X60" s="1" t="s">
        <v>197</v>
      </c>
      <c r="Y60" s="6">
        <v>51</v>
      </c>
      <c r="Z60" s="5">
        <v>11</v>
      </c>
      <c r="AA60" s="5">
        <f t="shared" si="0"/>
        <v>40</v>
      </c>
      <c r="AB60" s="5">
        <v>2</v>
      </c>
    </row>
    <row r="61" spans="2:33" x14ac:dyDescent="0.2">
      <c r="B61" s="1" t="s">
        <v>399</v>
      </c>
      <c r="C61" s="1" t="s">
        <v>158</v>
      </c>
      <c r="F61" s="1" t="s">
        <v>400</v>
      </c>
      <c r="G61" s="1" t="s">
        <v>119</v>
      </c>
      <c r="J61" s="1" t="s">
        <v>124</v>
      </c>
      <c r="M61" s="1" t="s">
        <v>398</v>
      </c>
      <c r="X61" s="1" t="s">
        <v>56</v>
      </c>
      <c r="Y61" s="6">
        <v>64</v>
      </c>
      <c r="Z61" s="5">
        <v>11</v>
      </c>
      <c r="AA61" s="5">
        <f t="shared" si="0"/>
        <v>53</v>
      </c>
      <c r="AB61" s="5">
        <v>2</v>
      </c>
    </row>
    <row r="62" spans="2:33" x14ac:dyDescent="0.2">
      <c r="C62" s="1" t="s">
        <v>402</v>
      </c>
      <c r="F62" s="1" t="s">
        <v>134</v>
      </c>
      <c r="G62" s="1" t="s">
        <v>401</v>
      </c>
      <c r="J62" s="1" t="s">
        <v>128</v>
      </c>
      <c r="M62" s="1" t="s">
        <v>132</v>
      </c>
      <c r="X62" s="1" t="s">
        <v>65</v>
      </c>
      <c r="Y62" s="6">
        <v>97</v>
      </c>
      <c r="Z62" s="5">
        <v>11</v>
      </c>
      <c r="AA62" s="5">
        <f t="shared" si="0"/>
        <v>86</v>
      </c>
      <c r="AB62" s="5">
        <v>2</v>
      </c>
    </row>
    <row r="63" spans="2:33" x14ac:dyDescent="0.2">
      <c r="C63" s="1" t="s">
        <v>403</v>
      </c>
      <c r="G63" s="1" t="s">
        <v>130</v>
      </c>
      <c r="J63" s="97" t="s">
        <v>612</v>
      </c>
      <c r="X63" s="1" t="s">
        <v>71</v>
      </c>
      <c r="Y63" s="6">
        <v>177</v>
      </c>
      <c r="Z63" s="5">
        <v>11</v>
      </c>
      <c r="AA63" s="5">
        <f t="shared" si="0"/>
        <v>166</v>
      </c>
      <c r="AB63" s="5">
        <v>2</v>
      </c>
    </row>
    <row r="64" spans="2:33" x14ac:dyDescent="0.2">
      <c r="C64" s="1" t="s">
        <v>159</v>
      </c>
      <c r="G64" s="1" t="s">
        <v>135</v>
      </c>
      <c r="J64" s="1" t="s">
        <v>131</v>
      </c>
      <c r="X64" s="1" t="s">
        <v>45</v>
      </c>
      <c r="Y64" s="6">
        <v>64</v>
      </c>
      <c r="Z64" s="5">
        <v>11</v>
      </c>
      <c r="AA64" s="5">
        <f t="shared" si="0"/>
        <v>53</v>
      </c>
      <c r="AB64" s="5">
        <v>2</v>
      </c>
    </row>
    <row r="65" spans="3:28" x14ac:dyDescent="0.2">
      <c r="C65" s="1" t="s">
        <v>133</v>
      </c>
      <c r="G65" s="1" t="s">
        <v>261</v>
      </c>
      <c r="J65" s="1" t="s">
        <v>136</v>
      </c>
      <c r="X65" s="1" t="s">
        <v>106</v>
      </c>
      <c r="Y65" s="6">
        <v>374</v>
      </c>
      <c r="Z65" s="5">
        <v>11</v>
      </c>
      <c r="AA65" s="5">
        <f t="shared" si="0"/>
        <v>363</v>
      </c>
      <c r="AB65" s="5">
        <v>2</v>
      </c>
    </row>
    <row r="66" spans="3:28" x14ac:dyDescent="0.2">
      <c r="C66" s="1" t="s">
        <v>404</v>
      </c>
      <c r="G66" s="1" t="s">
        <v>139</v>
      </c>
      <c r="J66" s="1" t="s">
        <v>138</v>
      </c>
      <c r="X66" s="1" t="s">
        <v>109</v>
      </c>
      <c r="Y66" s="6">
        <v>187</v>
      </c>
      <c r="Z66" s="5">
        <v>11</v>
      </c>
      <c r="AA66" s="5">
        <f t="shared" si="0"/>
        <v>176</v>
      </c>
      <c r="AB66" s="5">
        <v>2</v>
      </c>
    </row>
    <row r="67" spans="3:28" x14ac:dyDescent="0.2">
      <c r="C67" s="1" t="s">
        <v>406</v>
      </c>
      <c r="G67" s="1" t="s">
        <v>140</v>
      </c>
      <c r="J67" s="1" t="s">
        <v>405</v>
      </c>
      <c r="Y67" s="1"/>
      <c r="Z67" s="1"/>
      <c r="AA67" s="1"/>
      <c r="AB67" s="1"/>
    </row>
    <row r="68" spans="3:28" x14ac:dyDescent="0.2">
      <c r="C68" s="1" t="s">
        <v>407</v>
      </c>
      <c r="G68" s="1" t="s">
        <v>408</v>
      </c>
      <c r="Y68" s="1"/>
      <c r="Z68" s="1"/>
      <c r="AA68" s="1"/>
      <c r="AB68" s="1"/>
    </row>
    <row r="69" spans="3:28" x14ac:dyDescent="0.2">
      <c r="C69" s="1" t="s">
        <v>142</v>
      </c>
      <c r="G69" s="1" t="s">
        <v>141</v>
      </c>
      <c r="Y69" s="1"/>
      <c r="Z69" s="1"/>
      <c r="AA69" s="1"/>
      <c r="AB69" s="1"/>
    </row>
    <row r="70" spans="3:28" x14ac:dyDescent="0.2">
      <c r="C70" s="1" t="s">
        <v>409</v>
      </c>
      <c r="G70" s="1" t="s">
        <v>143</v>
      </c>
      <c r="Y70" s="1"/>
      <c r="Z70" s="1"/>
      <c r="AA70" s="1"/>
      <c r="AB70" s="1"/>
    </row>
    <row r="71" spans="3:28" x14ac:dyDescent="0.2">
      <c r="C71" s="1" t="s">
        <v>410</v>
      </c>
      <c r="G71" s="1" t="s">
        <v>145</v>
      </c>
    </row>
    <row r="72" spans="3:28" x14ac:dyDescent="0.2">
      <c r="C72" s="1" t="s">
        <v>411</v>
      </c>
      <c r="G72" s="1" t="s">
        <v>412</v>
      </c>
    </row>
    <row r="73" spans="3:28" x14ac:dyDescent="0.2">
      <c r="C73" s="1" t="s">
        <v>413</v>
      </c>
      <c r="G73" s="1" t="s">
        <v>146</v>
      </c>
    </row>
    <row r="74" spans="3:28" x14ac:dyDescent="0.2">
      <c r="C74" s="1" t="s">
        <v>144</v>
      </c>
      <c r="G74" s="1" t="s">
        <v>147</v>
      </c>
    </row>
    <row r="75" spans="3:28" x14ac:dyDescent="0.2">
      <c r="C75" s="1" t="s">
        <v>414</v>
      </c>
      <c r="G75" s="1" t="s">
        <v>172</v>
      </c>
    </row>
    <row r="76" spans="3:28" x14ac:dyDescent="0.2">
      <c r="G76" s="1" t="s">
        <v>415</v>
      </c>
    </row>
    <row r="77" spans="3:28" x14ac:dyDescent="0.2">
      <c r="G77" s="1" t="s">
        <v>148</v>
      </c>
    </row>
    <row r="78" spans="3:28" x14ac:dyDescent="0.2">
      <c r="G78" s="1" t="s">
        <v>149</v>
      </c>
    </row>
    <row r="79" spans="3:28" x14ac:dyDescent="0.2">
      <c r="G79" s="1" t="s">
        <v>150</v>
      </c>
    </row>
    <row r="80" spans="3:28" x14ac:dyDescent="0.2">
      <c r="G80" s="1" t="s">
        <v>173</v>
      </c>
    </row>
    <row r="81" spans="7:7" x14ac:dyDescent="0.2">
      <c r="G81" s="1" t="s">
        <v>151</v>
      </c>
    </row>
    <row r="82" spans="7:7" x14ac:dyDescent="0.2">
      <c r="G82" s="1" t="s">
        <v>174</v>
      </c>
    </row>
    <row r="83" spans="7:7" x14ac:dyDescent="0.2">
      <c r="G83" s="1" t="s">
        <v>153</v>
      </c>
    </row>
    <row r="84" spans="7:7" x14ac:dyDescent="0.2">
      <c r="G84" s="1" t="s">
        <v>154</v>
      </c>
    </row>
    <row r="85" spans="7:7" x14ac:dyDescent="0.2">
      <c r="G85" s="1" t="s">
        <v>416</v>
      </c>
    </row>
    <row r="86" spans="7:7" x14ac:dyDescent="0.2">
      <c r="G86" s="1" t="s">
        <v>156</v>
      </c>
    </row>
    <row r="115" spans="27:32" x14ac:dyDescent="0.2">
      <c r="AC115" s="2"/>
      <c r="AD115" s="2"/>
      <c r="AF115" s="2"/>
    </row>
    <row r="119" spans="27:32" x14ac:dyDescent="0.2">
      <c r="AA119" s="7"/>
    </row>
    <row r="179" spans="26:32" x14ac:dyDescent="0.2">
      <c r="AC179" s="2"/>
      <c r="AE179" s="2"/>
      <c r="AF179" s="2"/>
    </row>
    <row r="183" spans="26:32" x14ac:dyDescent="0.2">
      <c r="Z183" s="7"/>
      <c r="AB183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F30CD-F133-4ACE-BED0-8857F6695ACF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00BEDE-2A7C-43C9-A475-9A6B5AB7A2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22</vt:i4>
      </vt:variant>
    </vt:vector>
  </HeadingPairs>
  <TitlesOfParts>
    <vt:vector size="26" baseType="lpstr">
      <vt:lpstr>Bordereau Reversion</vt:lpstr>
      <vt:lpstr>Données</vt:lpstr>
      <vt:lpstr>Listes</vt:lpstr>
      <vt:lpstr>Feuil1</vt:lpstr>
      <vt:lpstr>Affiliation</vt:lpstr>
      <vt:lpstr>BMX</vt:lpstr>
      <vt:lpstr>C.CROSS</vt:lpstr>
      <vt:lpstr>CD</vt:lpstr>
      <vt:lpstr>CD.16</vt:lpstr>
      <vt:lpstr>CD.17</vt:lpstr>
      <vt:lpstr>CD.19</vt:lpstr>
      <vt:lpstr>CD.23</vt:lpstr>
      <vt:lpstr>CD.24</vt:lpstr>
      <vt:lpstr>CD.33</vt:lpstr>
      <vt:lpstr>CD.40</vt:lpstr>
      <vt:lpstr>CD.47</vt:lpstr>
      <vt:lpstr>CD.64</vt:lpstr>
      <vt:lpstr>CD.79</vt:lpstr>
      <vt:lpstr>CD.86</vt:lpstr>
      <vt:lpstr>CD.87</vt:lpstr>
      <vt:lpstr>Discipline</vt:lpstr>
      <vt:lpstr>GRAVEL</vt:lpstr>
      <vt:lpstr>Licence</vt:lpstr>
      <vt:lpstr>PISTE</vt:lpstr>
      <vt:lpstr>ROUTE</vt:lpstr>
      <vt:lpstr>VTT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zoeso</dc:creator>
  <cp:lastModifiedBy>Delphine Gasnier</cp:lastModifiedBy>
  <cp:lastPrinted>2024-01-30T16:36:18Z</cp:lastPrinted>
  <dcterms:created xsi:type="dcterms:W3CDTF">2020-11-10T13:37:58Z</dcterms:created>
  <dcterms:modified xsi:type="dcterms:W3CDTF">2024-07-03T09:19:54Z</dcterms:modified>
</cp:coreProperties>
</file>